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БАЛАНСЫ\Балансы_факт\Балансы_факт_2019\"/>
    </mc:Choice>
  </mc:AlternateContent>
  <bookViews>
    <workbookView xWindow="0" yWindow="0" windowWidth="28800" windowHeight="12435" tabRatio="731" activeTab="16"/>
  </bookViews>
  <sheets>
    <sheet name="январь" sheetId="1" r:id="rId1"/>
    <sheet name="февраль" sheetId="2" r:id="rId2"/>
    <sheet name="март" sheetId="3" r:id="rId3"/>
    <sheet name="1квартал" sheetId="4" r:id="rId4"/>
    <sheet name="апрель" sheetId="5" r:id="rId5"/>
    <sheet name="май" sheetId="6" r:id="rId6"/>
    <sheet name="июнь" sheetId="7" r:id="rId7"/>
    <sheet name="2квартал" sheetId="8" r:id="rId8"/>
    <sheet name="1 пг" sheetId="9" r:id="rId9"/>
    <sheet name="июль" sheetId="10" r:id="rId10"/>
    <sheet name="август" sheetId="11" r:id="rId11"/>
    <sheet name="сентябрь" sheetId="12" r:id="rId12"/>
    <sheet name="октябрь" sheetId="13" r:id="rId13"/>
    <sheet name="ноябрь" sheetId="14" r:id="rId14"/>
    <sheet name="декабрь" sheetId="15" r:id="rId15"/>
    <sheet name="2 пг" sheetId="16" r:id="rId16"/>
    <sheet name="год2019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org">[1]Титульный!$G$15</definedName>
    <definedName name="_xlnm.Print_Area" localSheetId="8">'1 пг'!$A$10:$K$147</definedName>
    <definedName name="_xlnm.Print_Area" localSheetId="15">'2 пг'!$A$10:$K$146</definedName>
    <definedName name="_xlnm.Print_Area" localSheetId="10">август!$A$1:$K$152</definedName>
    <definedName name="_xlnm.Print_Area" localSheetId="4">апрель!$A$1:$K$152</definedName>
    <definedName name="_xlnm.Print_Area" localSheetId="16">год2019!$A$5:$K$146</definedName>
    <definedName name="_xlnm.Print_Area" localSheetId="14">декабрь!$A$1:$K$152</definedName>
    <definedName name="_xlnm.Print_Area" localSheetId="9">июль!$A$1:$K$152</definedName>
    <definedName name="_xlnm.Print_Area" localSheetId="6">июнь!$A$1:$K$152</definedName>
    <definedName name="_xlnm.Print_Area" localSheetId="5">май!$A$1:$K$152</definedName>
    <definedName name="_xlnm.Print_Area" localSheetId="2">март!$A$1:$K$152</definedName>
    <definedName name="_xlnm.Print_Area" localSheetId="13">ноябрь!$A$1:$K$152</definedName>
    <definedName name="_xlnm.Print_Area" localSheetId="12">октябрь!$A$1:$K$152</definedName>
    <definedName name="_xlnm.Print_Area" localSheetId="11">сентябрь!$A$1:$K$152</definedName>
    <definedName name="_xlnm.Print_Area" localSheetId="1">февраль!$A$1:$K$152</definedName>
    <definedName name="_xlnm.Print_Area" localSheetId="0">январь!$A$1:$K$152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4" l="1"/>
  <c r="K36" i="7"/>
  <c r="K85" i="17" l="1"/>
  <c r="J85" i="17"/>
  <c r="G85" i="17" s="1"/>
  <c r="K73" i="17"/>
  <c r="J73" i="17"/>
  <c r="J62" i="17"/>
  <c r="H62" i="17"/>
  <c r="J143" i="17"/>
  <c r="K48" i="17"/>
  <c r="J48" i="17"/>
  <c r="J36" i="17"/>
  <c r="J121" i="17" s="1"/>
  <c r="J25" i="17"/>
  <c r="H25" i="17"/>
  <c r="J25" i="16"/>
  <c r="H25" i="16"/>
  <c r="J143" i="16"/>
  <c r="H25" i="9"/>
  <c r="J23" i="16"/>
  <c r="J89" i="16"/>
  <c r="K89" i="16"/>
  <c r="K85" i="16"/>
  <c r="J85" i="16"/>
  <c r="J62" i="16"/>
  <c r="G62" i="16" s="1"/>
  <c r="H62" i="16"/>
  <c r="K73" i="16"/>
  <c r="G73" i="16" s="1"/>
  <c r="J73" i="16"/>
  <c r="K48" i="16"/>
  <c r="J48" i="16"/>
  <c r="K36" i="16"/>
  <c r="J36" i="16"/>
  <c r="F151" i="17"/>
  <c r="I148" i="17"/>
  <c r="F148" i="17"/>
  <c r="G146" i="17"/>
  <c r="G145" i="17"/>
  <c r="K144" i="17"/>
  <c r="J144" i="17"/>
  <c r="I144" i="17"/>
  <c r="G144" i="17" s="1"/>
  <c r="H144" i="17"/>
  <c r="H142" i="17"/>
  <c r="G141" i="17"/>
  <c r="G140" i="17"/>
  <c r="G139" i="17"/>
  <c r="K138" i="17"/>
  <c r="J138" i="17"/>
  <c r="I138" i="17"/>
  <c r="G138" i="17" s="1"/>
  <c r="H138" i="17"/>
  <c r="G137" i="17"/>
  <c r="G136" i="17"/>
  <c r="K135" i="17"/>
  <c r="J135" i="17"/>
  <c r="I135" i="17"/>
  <c r="I133" i="17" s="1"/>
  <c r="I132" i="17" s="1"/>
  <c r="H135" i="17"/>
  <c r="G134" i="17"/>
  <c r="K133" i="17"/>
  <c r="J133" i="17"/>
  <c r="J132" i="17" s="1"/>
  <c r="K132" i="17"/>
  <c r="G131" i="17"/>
  <c r="G130" i="17"/>
  <c r="G129" i="17"/>
  <c r="K128" i="17"/>
  <c r="K126" i="17" s="1"/>
  <c r="J128" i="17"/>
  <c r="I128" i="17"/>
  <c r="H128" i="17"/>
  <c r="H126" i="17" s="1"/>
  <c r="G128" i="17"/>
  <c r="G127" i="17"/>
  <c r="J126" i="17"/>
  <c r="I126" i="17"/>
  <c r="G124" i="17"/>
  <c r="G123" i="17"/>
  <c r="K122" i="17"/>
  <c r="J122" i="17"/>
  <c r="I122" i="17"/>
  <c r="H122" i="17"/>
  <c r="G122" i="17" s="1"/>
  <c r="I120" i="17"/>
  <c r="G119" i="17"/>
  <c r="G118" i="17"/>
  <c r="G117" i="17"/>
  <c r="K116" i="17"/>
  <c r="J116" i="17"/>
  <c r="I116" i="17"/>
  <c r="H116" i="17"/>
  <c r="G116" i="17" s="1"/>
  <c r="G115" i="17"/>
  <c r="G114" i="17"/>
  <c r="G113" i="17"/>
  <c r="G112" i="17"/>
  <c r="G111" i="17"/>
  <c r="G110" i="17"/>
  <c r="K109" i="17"/>
  <c r="K102" i="17" s="1"/>
  <c r="K100" i="17" s="1"/>
  <c r="K99" i="17" s="1"/>
  <c r="J109" i="17"/>
  <c r="I109" i="17"/>
  <c r="H109" i="17"/>
  <c r="H102" i="17" s="1"/>
  <c r="G109" i="17"/>
  <c r="G108" i="17"/>
  <c r="G107" i="17"/>
  <c r="K106" i="17"/>
  <c r="J106" i="17"/>
  <c r="G106" i="17" s="1"/>
  <c r="I106" i="17"/>
  <c r="H106" i="17"/>
  <c r="G105" i="17"/>
  <c r="G104" i="17"/>
  <c r="K103" i="17"/>
  <c r="J103" i="17"/>
  <c r="I103" i="17"/>
  <c r="H103" i="17"/>
  <c r="G101" i="17"/>
  <c r="H100" i="17"/>
  <c r="G98" i="17"/>
  <c r="G97" i="17"/>
  <c r="G96" i="17"/>
  <c r="K95" i="17"/>
  <c r="J95" i="17"/>
  <c r="J93" i="17" s="1"/>
  <c r="I95" i="17"/>
  <c r="H95" i="17"/>
  <c r="G94" i="17"/>
  <c r="K93" i="17"/>
  <c r="H93" i="17"/>
  <c r="G91" i="17"/>
  <c r="G90" i="17"/>
  <c r="J86" i="17"/>
  <c r="I86" i="17"/>
  <c r="H86" i="17"/>
  <c r="G84" i="17"/>
  <c r="G82" i="17"/>
  <c r="G81" i="17"/>
  <c r="G79" i="17"/>
  <c r="K76" i="17"/>
  <c r="K70" i="17" s="1"/>
  <c r="J76" i="17"/>
  <c r="I76" i="17"/>
  <c r="H76" i="17"/>
  <c r="G76" i="17"/>
  <c r="G75" i="17"/>
  <c r="G74" i="17"/>
  <c r="K89" i="17"/>
  <c r="G72" i="17"/>
  <c r="G71" i="17"/>
  <c r="I70" i="17"/>
  <c r="H70" i="17"/>
  <c r="G69" i="17"/>
  <c r="G68" i="17"/>
  <c r="G66" i="17"/>
  <c r="I64" i="17"/>
  <c r="H64" i="17"/>
  <c r="H80" i="17"/>
  <c r="G62" i="17"/>
  <c r="K60" i="17"/>
  <c r="J60" i="17"/>
  <c r="I60" i="17"/>
  <c r="H60" i="17"/>
  <c r="K57" i="17"/>
  <c r="J57" i="17"/>
  <c r="I57" i="17"/>
  <c r="H57" i="17"/>
  <c r="K54" i="17"/>
  <c r="J54" i="17"/>
  <c r="J52" i="17" s="1"/>
  <c r="I54" i="17"/>
  <c r="H54" i="17"/>
  <c r="G53" i="17"/>
  <c r="K52" i="17"/>
  <c r="I49" i="17"/>
  <c r="H49" i="17"/>
  <c r="G47" i="17"/>
  <c r="G45" i="17"/>
  <c r="G44" i="17"/>
  <c r="G42" i="17"/>
  <c r="K39" i="17"/>
  <c r="J39" i="17"/>
  <c r="G39" i="17" s="1"/>
  <c r="I39" i="17"/>
  <c r="H39" i="17"/>
  <c r="G38" i="17"/>
  <c r="G37" i="17"/>
  <c r="G35" i="17"/>
  <c r="G34" i="17"/>
  <c r="J33" i="17"/>
  <c r="I33" i="17"/>
  <c r="H33" i="17"/>
  <c r="G32" i="17"/>
  <c r="G31" i="17"/>
  <c r="G29" i="17"/>
  <c r="I27" i="17"/>
  <c r="H27" i="17"/>
  <c r="J28" i="17"/>
  <c r="G28" i="17" s="1"/>
  <c r="K23" i="17"/>
  <c r="I23" i="17"/>
  <c r="H23" i="17"/>
  <c r="K20" i="17"/>
  <c r="J20" i="17"/>
  <c r="I20" i="17"/>
  <c r="H20" i="17"/>
  <c r="G20" i="17"/>
  <c r="K17" i="17"/>
  <c r="J17" i="17"/>
  <c r="I17" i="17"/>
  <c r="I15" i="17" s="1"/>
  <c r="I50" i="17" s="1"/>
  <c r="H17" i="17"/>
  <c r="G16" i="17"/>
  <c r="K15" i="17"/>
  <c r="D9" i="17"/>
  <c r="F151" i="16"/>
  <c r="I148" i="16"/>
  <c r="F148" i="16"/>
  <c r="G146" i="16"/>
  <c r="G145" i="16"/>
  <c r="K144" i="16"/>
  <c r="J144" i="16"/>
  <c r="I144" i="16"/>
  <c r="G144" i="16" s="1"/>
  <c r="H144" i="16"/>
  <c r="I142" i="16"/>
  <c r="H142" i="16"/>
  <c r="G141" i="16"/>
  <c r="G140" i="16"/>
  <c r="G139" i="16"/>
  <c r="K138" i="16"/>
  <c r="J138" i="16"/>
  <c r="I138" i="16"/>
  <c r="G138" i="16" s="1"/>
  <c r="H138" i="16"/>
  <c r="G137" i="16"/>
  <c r="G136" i="16"/>
  <c r="K135" i="16"/>
  <c r="J135" i="16"/>
  <c r="I135" i="16"/>
  <c r="I133" i="16" s="1"/>
  <c r="I132" i="16" s="1"/>
  <c r="H135" i="16"/>
  <c r="G135" i="16" s="1"/>
  <c r="G134" i="16"/>
  <c r="K133" i="16"/>
  <c r="J133" i="16"/>
  <c r="J132" i="16" s="1"/>
  <c r="K132" i="16"/>
  <c r="G131" i="16"/>
  <c r="G130" i="16"/>
  <c r="G129" i="16"/>
  <c r="K128" i="16"/>
  <c r="K126" i="16" s="1"/>
  <c r="J128" i="16"/>
  <c r="I128" i="16"/>
  <c r="H128" i="16"/>
  <c r="H126" i="16" s="1"/>
  <c r="G128" i="16"/>
  <c r="G127" i="16"/>
  <c r="J126" i="16"/>
  <c r="I126" i="16"/>
  <c r="G124" i="16"/>
  <c r="G123" i="16"/>
  <c r="K122" i="16"/>
  <c r="J122" i="16"/>
  <c r="I122" i="16"/>
  <c r="I120" i="16" s="1"/>
  <c r="H122" i="16"/>
  <c r="G122" i="16" s="1"/>
  <c r="H120" i="16"/>
  <c r="G119" i="16"/>
  <c r="G118" i="16"/>
  <c r="G117" i="16"/>
  <c r="K116" i="16"/>
  <c r="J116" i="16"/>
  <c r="I116" i="16"/>
  <c r="H116" i="16"/>
  <c r="G116" i="16" s="1"/>
  <c r="G115" i="16"/>
  <c r="G114" i="16"/>
  <c r="G113" i="16"/>
  <c r="G112" i="16"/>
  <c r="G111" i="16"/>
  <c r="G110" i="16"/>
  <c r="K109" i="16"/>
  <c r="K102" i="16" s="1"/>
  <c r="K100" i="16" s="1"/>
  <c r="K99" i="16" s="1"/>
  <c r="J109" i="16"/>
  <c r="I109" i="16"/>
  <c r="H109" i="16"/>
  <c r="H102" i="16" s="1"/>
  <c r="G108" i="16"/>
  <c r="G107" i="16"/>
  <c r="K106" i="16"/>
  <c r="J106" i="16"/>
  <c r="G106" i="16" s="1"/>
  <c r="I106" i="16"/>
  <c r="H106" i="16"/>
  <c r="G105" i="16"/>
  <c r="G104" i="16"/>
  <c r="K103" i="16"/>
  <c r="J103" i="16"/>
  <c r="I103" i="16"/>
  <c r="I102" i="16" s="1"/>
  <c r="I100" i="16" s="1"/>
  <c r="I99" i="16" s="1"/>
  <c r="H103" i="16"/>
  <c r="J102" i="16"/>
  <c r="J100" i="16" s="1"/>
  <c r="J99" i="16" s="1"/>
  <c r="G101" i="16"/>
  <c r="G98" i="16"/>
  <c r="G97" i="16"/>
  <c r="G96" i="16"/>
  <c r="K95" i="16"/>
  <c r="J95" i="16"/>
  <c r="J93" i="16" s="1"/>
  <c r="I95" i="16"/>
  <c r="G95" i="16" s="1"/>
  <c r="H95" i="16"/>
  <c r="G94" i="16"/>
  <c r="K93" i="16"/>
  <c r="H93" i="16"/>
  <c r="G91" i="16"/>
  <c r="G90" i="16"/>
  <c r="J86" i="16"/>
  <c r="I86" i="16"/>
  <c r="H86" i="16"/>
  <c r="G85" i="16"/>
  <c r="G84" i="16"/>
  <c r="G82" i="16"/>
  <c r="G81" i="16"/>
  <c r="G79" i="16"/>
  <c r="K76" i="16"/>
  <c r="J76" i="16"/>
  <c r="I76" i="16"/>
  <c r="H76" i="16"/>
  <c r="G76" i="16"/>
  <c r="G75" i="16"/>
  <c r="G74" i="16"/>
  <c r="G72" i="16"/>
  <c r="G71" i="16"/>
  <c r="I70" i="16"/>
  <c r="H70" i="16"/>
  <c r="G69" i="16"/>
  <c r="G68" i="16"/>
  <c r="G66" i="16"/>
  <c r="I64" i="16"/>
  <c r="H64" i="16"/>
  <c r="H80" i="16"/>
  <c r="K60" i="16"/>
  <c r="K52" i="16" s="1"/>
  <c r="J60" i="16"/>
  <c r="I60" i="16"/>
  <c r="H60" i="16"/>
  <c r="K57" i="16"/>
  <c r="J57" i="16"/>
  <c r="I57" i="16"/>
  <c r="H57" i="16"/>
  <c r="K54" i="16"/>
  <c r="J54" i="16"/>
  <c r="J52" i="16" s="1"/>
  <c r="I54" i="16"/>
  <c r="H54" i="16"/>
  <c r="G53" i="16"/>
  <c r="I49" i="16"/>
  <c r="H49" i="16"/>
  <c r="G47" i="16"/>
  <c r="G45" i="16"/>
  <c r="G44" i="16"/>
  <c r="G42" i="16"/>
  <c r="K39" i="16"/>
  <c r="J39" i="16"/>
  <c r="G39" i="16" s="1"/>
  <c r="I39" i="16"/>
  <c r="H39" i="16"/>
  <c r="G38" i="16"/>
  <c r="G37" i="16"/>
  <c r="K121" i="16"/>
  <c r="K143" i="16" s="1"/>
  <c r="J121" i="16"/>
  <c r="G36" i="16"/>
  <c r="G35" i="16"/>
  <c r="G34" i="16"/>
  <c r="K33" i="16"/>
  <c r="J33" i="16"/>
  <c r="G33" i="16" s="1"/>
  <c r="I33" i="16"/>
  <c r="H33" i="16"/>
  <c r="G32" i="16"/>
  <c r="G31" i="16"/>
  <c r="G29" i="16"/>
  <c r="I27" i="16"/>
  <c r="H27" i="16"/>
  <c r="J28" i="16"/>
  <c r="G28" i="16" s="1"/>
  <c r="K23" i="16"/>
  <c r="I23" i="16"/>
  <c r="H23" i="16"/>
  <c r="K20" i="16"/>
  <c r="K15" i="16" s="1"/>
  <c r="J20" i="16"/>
  <c r="I20" i="16"/>
  <c r="H20" i="16"/>
  <c r="G20" i="16"/>
  <c r="K17" i="16"/>
  <c r="J17" i="16"/>
  <c r="I17" i="16"/>
  <c r="I15" i="16" s="1"/>
  <c r="I50" i="16" s="1"/>
  <c r="H17" i="16"/>
  <c r="G16" i="16"/>
  <c r="D9" i="16"/>
  <c r="F151" i="15"/>
  <c r="I148" i="15"/>
  <c r="F148" i="15"/>
  <c r="G146" i="15"/>
  <c r="G145" i="15"/>
  <c r="K144" i="15"/>
  <c r="J144" i="15"/>
  <c r="I144" i="15"/>
  <c r="G144" i="15" s="1"/>
  <c r="H144" i="15"/>
  <c r="K143" i="15"/>
  <c r="K142" i="15" s="1"/>
  <c r="J143" i="15"/>
  <c r="I142" i="15"/>
  <c r="H142" i="15"/>
  <c r="G141" i="15"/>
  <c r="G140" i="15"/>
  <c r="G139" i="15"/>
  <c r="K138" i="15"/>
  <c r="J138" i="15"/>
  <c r="I138" i="15"/>
  <c r="G138" i="15" s="1"/>
  <c r="H138" i="15"/>
  <c r="G137" i="15"/>
  <c r="G136" i="15"/>
  <c r="K135" i="15"/>
  <c r="J135" i="15"/>
  <c r="I135" i="15"/>
  <c r="I133" i="15" s="1"/>
  <c r="H135" i="15"/>
  <c r="G134" i="15"/>
  <c r="K133" i="15"/>
  <c r="J133" i="15"/>
  <c r="J132" i="15" s="1"/>
  <c r="K132" i="15"/>
  <c r="G131" i="15"/>
  <c r="G130" i="15"/>
  <c r="G129" i="15"/>
  <c r="K128" i="15"/>
  <c r="K126" i="15" s="1"/>
  <c r="J128" i="15"/>
  <c r="I128" i="15"/>
  <c r="H128" i="15"/>
  <c r="H126" i="15" s="1"/>
  <c r="G128" i="15"/>
  <c r="G127" i="15"/>
  <c r="J126" i="15"/>
  <c r="I126" i="15"/>
  <c r="G124" i="15"/>
  <c r="G123" i="15"/>
  <c r="K122" i="15"/>
  <c r="J122" i="15"/>
  <c r="I122" i="15"/>
  <c r="H122" i="15"/>
  <c r="G122" i="15" s="1"/>
  <c r="K121" i="15"/>
  <c r="K120" i="15" s="1"/>
  <c r="J121" i="15"/>
  <c r="J120" i="15" s="1"/>
  <c r="G121" i="15"/>
  <c r="I120" i="15"/>
  <c r="G119" i="15"/>
  <c r="G118" i="15"/>
  <c r="G117" i="15"/>
  <c r="K116" i="15"/>
  <c r="J116" i="15"/>
  <c r="I116" i="15"/>
  <c r="H116" i="15"/>
  <c r="G116" i="15" s="1"/>
  <c r="G115" i="15"/>
  <c r="G114" i="15"/>
  <c r="G113" i="15"/>
  <c r="G112" i="15"/>
  <c r="G111" i="15"/>
  <c r="G110" i="15"/>
  <c r="K109" i="15"/>
  <c r="K102" i="15" s="1"/>
  <c r="K100" i="15" s="1"/>
  <c r="K99" i="15" s="1"/>
  <c r="J109" i="15"/>
  <c r="I109" i="15"/>
  <c r="H109" i="15"/>
  <c r="H102" i="15" s="1"/>
  <c r="G109" i="15"/>
  <c r="G108" i="15"/>
  <c r="G107" i="15"/>
  <c r="K106" i="15"/>
  <c r="J106" i="15"/>
  <c r="G106" i="15" s="1"/>
  <c r="I106" i="15"/>
  <c r="H106" i="15"/>
  <c r="G105" i="15"/>
  <c r="G104" i="15"/>
  <c r="K103" i="15"/>
  <c r="J103" i="15"/>
  <c r="I103" i="15"/>
  <c r="H103" i="15"/>
  <c r="J102" i="15"/>
  <c r="J100" i="15" s="1"/>
  <c r="J99" i="15" s="1"/>
  <c r="G101" i="15"/>
  <c r="H100" i="15"/>
  <c r="G98" i="15"/>
  <c r="G97" i="15"/>
  <c r="G96" i="15"/>
  <c r="K95" i="15"/>
  <c r="J95" i="15"/>
  <c r="J93" i="15" s="1"/>
  <c r="I95" i="15"/>
  <c r="H95" i="15"/>
  <c r="G94" i="15"/>
  <c r="K93" i="15"/>
  <c r="H93" i="15"/>
  <c r="G91" i="15"/>
  <c r="G90" i="15"/>
  <c r="J89" i="15"/>
  <c r="J86" i="15"/>
  <c r="I86" i="15"/>
  <c r="H86" i="15"/>
  <c r="G85" i="15"/>
  <c r="G84" i="15"/>
  <c r="G82" i="15"/>
  <c r="G81" i="15"/>
  <c r="G79" i="15"/>
  <c r="K76" i="15"/>
  <c r="J76" i="15"/>
  <c r="I76" i="15"/>
  <c r="G76" i="15" s="1"/>
  <c r="H76" i="15"/>
  <c r="G75" i="15"/>
  <c r="G74" i="15"/>
  <c r="J73" i="15"/>
  <c r="K73" i="15" s="1"/>
  <c r="G72" i="15"/>
  <c r="G71" i="15"/>
  <c r="J70" i="15"/>
  <c r="I70" i="15"/>
  <c r="H70" i="15"/>
  <c r="G69" i="15"/>
  <c r="G68" i="15"/>
  <c r="G66" i="15"/>
  <c r="J65" i="15"/>
  <c r="I64" i="15"/>
  <c r="H64" i="15"/>
  <c r="H62" i="15"/>
  <c r="K60" i="15"/>
  <c r="I60" i="15"/>
  <c r="I52" i="15" s="1"/>
  <c r="I87" i="15" s="1"/>
  <c r="K57" i="15"/>
  <c r="J57" i="15"/>
  <c r="I57" i="15"/>
  <c r="H57" i="15"/>
  <c r="K54" i="15"/>
  <c r="K52" i="15" s="1"/>
  <c r="J54" i="15"/>
  <c r="I54" i="15"/>
  <c r="H54" i="15"/>
  <c r="G54" i="15"/>
  <c r="G53" i="15"/>
  <c r="K49" i="15"/>
  <c r="J49" i="15"/>
  <c r="I49" i="15"/>
  <c r="H49" i="15"/>
  <c r="G49" i="15"/>
  <c r="K48" i="15"/>
  <c r="G48" i="15"/>
  <c r="G47" i="15"/>
  <c r="G46" i="15"/>
  <c r="G45" i="15"/>
  <c r="G44" i="15"/>
  <c r="G42" i="15"/>
  <c r="K39" i="15"/>
  <c r="K33" i="15" s="1"/>
  <c r="J39" i="15"/>
  <c r="J33" i="15" s="1"/>
  <c r="I39" i="15"/>
  <c r="H39" i="15"/>
  <c r="G39" i="15"/>
  <c r="G38" i="15"/>
  <c r="G37" i="15"/>
  <c r="G36" i="15"/>
  <c r="G35" i="15"/>
  <c r="G34" i="15"/>
  <c r="I33" i="15"/>
  <c r="H33" i="15"/>
  <c r="G32" i="15"/>
  <c r="G31" i="15"/>
  <c r="K30" i="15"/>
  <c r="G29" i="15"/>
  <c r="J28" i="15"/>
  <c r="J27" i="15" s="1"/>
  <c r="I27" i="15"/>
  <c r="H27" i="15"/>
  <c r="G25" i="15"/>
  <c r="K23" i="15"/>
  <c r="J23" i="15"/>
  <c r="G23" i="15" s="1"/>
  <c r="I23" i="15"/>
  <c r="H23" i="15"/>
  <c r="K20" i="15"/>
  <c r="J20" i="15"/>
  <c r="I20" i="15"/>
  <c r="H20" i="15"/>
  <c r="G20" i="15"/>
  <c r="K17" i="15"/>
  <c r="J17" i="15"/>
  <c r="I17" i="15"/>
  <c r="I15" i="15" s="1"/>
  <c r="H17" i="15"/>
  <c r="G16" i="15"/>
  <c r="K15" i="15"/>
  <c r="D9" i="15"/>
  <c r="G60" i="17" l="1"/>
  <c r="J120" i="17"/>
  <c r="G23" i="16"/>
  <c r="G60" i="16"/>
  <c r="K83" i="16"/>
  <c r="K67" i="16" s="1"/>
  <c r="K64" i="16" s="1"/>
  <c r="K70" i="16"/>
  <c r="K87" i="16" s="1"/>
  <c r="G54" i="17"/>
  <c r="I52" i="17"/>
  <c r="I87" i="17" s="1"/>
  <c r="K30" i="17"/>
  <c r="G25" i="17"/>
  <c r="J27" i="17"/>
  <c r="G73" i="17"/>
  <c r="K83" i="17" s="1"/>
  <c r="J70" i="17"/>
  <c r="G70" i="17" s="1"/>
  <c r="H99" i="17"/>
  <c r="I102" i="17"/>
  <c r="I100" i="17" s="1"/>
  <c r="I99" i="17" s="1"/>
  <c r="G103" i="17"/>
  <c r="I142" i="17"/>
  <c r="G17" i="17"/>
  <c r="H15" i="17"/>
  <c r="J23" i="17"/>
  <c r="H43" i="17"/>
  <c r="J89" i="17"/>
  <c r="G89" i="17" s="1"/>
  <c r="G95" i="17"/>
  <c r="I93" i="17"/>
  <c r="G93" i="17" s="1"/>
  <c r="H120" i="17"/>
  <c r="G48" i="17"/>
  <c r="J49" i="17"/>
  <c r="G57" i="17"/>
  <c r="H52" i="17"/>
  <c r="J102" i="17"/>
  <c r="J100" i="17" s="1"/>
  <c r="J99" i="17" s="1"/>
  <c r="G126" i="17"/>
  <c r="G135" i="17"/>
  <c r="H133" i="17"/>
  <c r="J65" i="17"/>
  <c r="J27" i="16"/>
  <c r="K120" i="16"/>
  <c r="K142" i="16"/>
  <c r="H43" i="16"/>
  <c r="J15" i="16"/>
  <c r="K30" i="16"/>
  <c r="G25" i="16"/>
  <c r="K46" i="16" s="1"/>
  <c r="G48" i="16"/>
  <c r="J49" i="16"/>
  <c r="G57" i="16"/>
  <c r="H52" i="16"/>
  <c r="G83" i="16"/>
  <c r="K86" i="16"/>
  <c r="G102" i="16"/>
  <c r="H100" i="16"/>
  <c r="G126" i="16"/>
  <c r="G54" i="16"/>
  <c r="I52" i="16"/>
  <c r="I87" i="16" s="1"/>
  <c r="J80" i="16"/>
  <c r="G67" i="16"/>
  <c r="G86" i="16"/>
  <c r="G17" i="16"/>
  <c r="H15" i="16"/>
  <c r="J120" i="16"/>
  <c r="G120" i="16" s="1"/>
  <c r="G121" i="16"/>
  <c r="G80" i="16"/>
  <c r="G109" i="16"/>
  <c r="J65" i="16"/>
  <c r="I93" i="16"/>
  <c r="G93" i="16" s="1"/>
  <c r="G103" i="16"/>
  <c r="H133" i="16"/>
  <c r="J70" i="16"/>
  <c r="G142" i="15"/>
  <c r="G33" i="15"/>
  <c r="G65" i="15"/>
  <c r="J64" i="15"/>
  <c r="G143" i="15"/>
  <c r="J142" i="15"/>
  <c r="G17" i="15"/>
  <c r="H15" i="15"/>
  <c r="G30" i="15"/>
  <c r="K27" i="15"/>
  <c r="K50" i="15" s="1"/>
  <c r="H43" i="15"/>
  <c r="G43" i="15" s="1"/>
  <c r="G57" i="15"/>
  <c r="G62" i="15"/>
  <c r="H60" i="15"/>
  <c r="G60" i="15" s="1"/>
  <c r="H80" i="15"/>
  <c r="J62" i="15"/>
  <c r="J60" i="15" s="1"/>
  <c r="J52" i="15" s="1"/>
  <c r="G70" i="15"/>
  <c r="K70" i="15"/>
  <c r="K89" i="15"/>
  <c r="G89" i="15" s="1"/>
  <c r="G73" i="15"/>
  <c r="G100" i="15"/>
  <c r="H99" i="15"/>
  <c r="I102" i="15"/>
  <c r="I100" i="15" s="1"/>
  <c r="I99" i="15" s="1"/>
  <c r="G103" i="15"/>
  <c r="G102" i="15"/>
  <c r="G126" i="15"/>
  <c r="G135" i="15"/>
  <c r="H133" i="15"/>
  <c r="J15" i="15"/>
  <c r="J50" i="15" s="1"/>
  <c r="I50" i="15"/>
  <c r="G28" i="15"/>
  <c r="J43" i="15"/>
  <c r="G95" i="15"/>
  <c r="I93" i="15"/>
  <c r="G93" i="15" s="1"/>
  <c r="H120" i="15"/>
  <c r="G120" i="15" s="1"/>
  <c r="I132" i="15"/>
  <c r="G70" i="16" l="1"/>
  <c r="G89" i="16"/>
  <c r="H50" i="17"/>
  <c r="G15" i="17"/>
  <c r="J64" i="17"/>
  <c r="G65" i="17"/>
  <c r="G83" i="17"/>
  <c r="K86" i="17"/>
  <c r="G86" i="17" s="1"/>
  <c r="K67" i="17"/>
  <c r="G133" i="17"/>
  <c r="H132" i="17"/>
  <c r="G132" i="17" s="1"/>
  <c r="H87" i="17"/>
  <c r="G52" i="17"/>
  <c r="J142" i="17"/>
  <c r="G99" i="17"/>
  <c r="G23" i="17"/>
  <c r="J15" i="17"/>
  <c r="G102" i="17"/>
  <c r="G100" i="17"/>
  <c r="J43" i="17"/>
  <c r="G43" i="17" s="1"/>
  <c r="G30" i="17"/>
  <c r="K27" i="17"/>
  <c r="J64" i="16"/>
  <c r="G65" i="16"/>
  <c r="G100" i="16"/>
  <c r="H99" i="16"/>
  <c r="G99" i="16" s="1"/>
  <c r="H87" i="16"/>
  <c r="G52" i="16"/>
  <c r="K49" i="16"/>
  <c r="G49" i="16" s="1"/>
  <c r="G46" i="16"/>
  <c r="G133" i="16"/>
  <c r="H132" i="16"/>
  <c r="G132" i="16" s="1"/>
  <c r="J43" i="16"/>
  <c r="G43" i="16" s="1"/>
  <c r="G30" i="16"/>
  <c r="K27" i="16"/>
  <c r="K50" i="16" s="1"/>
  <c r="G15" i="16"/>
  <c r="H50" i="16"/>
  <c r="G143" i="16"/>
  <c r="J142" i="16"/>
  <c r="G142" i="16" s="1"/>
  <c r="G133" i="15"/>
  <c r="H132" i="15"/>
  <c r="G132" i="15" s="1"/>
  <c r="K83" i="15"/>
  <c r="H52" i="15"/>
  <c r="G99" i="15"/>
  <c r="H50" i="15"/>
  <c r="G50" i="15" s="1"/>
  <c r="G15" i="15"/>
  <c r="G27" i="15"/>
  <c r="J50" i="17" l="1"/>
  <c r="J50" i="16"/>
  <c r="G50" i="16" s="1"/>
  <c r="G27" i="16"/>
  <c r="G27" i="17"/>
  <c r="J80" i="17"/>
  <c r="G80" i="17" s="1"/>
  <c r="K64" i="17"/>
  <c r="K87" i="17" s="1"/>
  <c r="G67" i="17"/>
  <c r="G64" i="16"/>
  <c r="J87" i="16"/>
  <c r="G87" i="16" s="1"/>
  <c r="H87" i="15"/>
  <c r="G52" i="15"/>
  <c r="K86" i="15"/>
  <c r="G86" i="15" s="1"/>
  <c r="G83" i="15"/>
  <c r="K67" i="15"/>
  <c r="J87" i="17" l="1"/>
  <c r="G87" i="17" s="1"/>
  <c r="G64" i="17"/>
  <c r="J80" i="15"/>
  <c r="G67" i="15"/>
  <c r="K64" i="15"/>
  <c r="K87" i="15" l="1"/>
  <c r="G64" i="15"/>
  <c r="J87" i="15"/>
  <c r="G87" i="15" s="1"/>
  <c r="G80" i="15"/>
  <c r="F151" i="14" l="1"/>
  <c r="I148" i="14"/>
  <c r="F148" i="14"/>
  <c r="G146" i="14"/>
  <c r="G145" i="14"/>
  <c r="K144" i="14"/>
  <c r="J144" i="14"/>
  <c r="I144" i="14"/>
  <c r="G144" i="14" s="1"/>
  <c r="H144" i="14"/>
  <c r="J143" i="14"/>
  <c r="H142" i="14"/>
  <c r="G141" i="14"/>
  <c r="G140" i="14"/>
  <c r="G139" i="14"/>
  <c r="K138" i="14"/>
  <c r="J138" i="14"/>
  <c r="I138" i="14"/>
  <c r="G138" i="14" s="1"/>
  <c r="H138" i="14"/>
  <c r="G137" i="14"/>
  <c r="G136" i="14"/>
  <c r="K135" i="14"/>
  <c r="J135" i="14"/>
  <c r="I135" i="14"/>
  <c r="I133" i="14" s="1"/>
  <c r="H135" i="14"/>
  <c r="G134" i="14"/>
  <c r="K133" i="14"/>
  <c r="J133" i="14"/>
  <c r="J132" i="14" s="1"/>
  <c r="K132" i="14"/>
  <c r="G131" i="14"/>
  <c r="G130" i="14"/>
  <c r="G129" i="14"/>
  <c r="K128" i="14"/>
  <c r="K126" i="14" s="1"/>
  <c r="J128" i="14"/>
  <c r="I128" i="14"/>
  <c r="H128" i="14"/>
  <c r="H126" i="14" s="1"/>
  <c r="G128" i="14"/>
  <c r="G127" i="14"/>
  <c r="J126" i="14"/>
  <c r="I126" i="14"/>
  <c r="G124" i="14"/>
  <c r="G123" i="14"/>
  <c r="K122" i="14"/>
  <c r="J122" i="14"/>
  <c r="I122" i="14"/>
  <c r="H122" i="14"/>
  <c r="G122" i="14" s="1"/>
  <c r="J121" i="14"/>
  <c r="J120" i="14" s="1"/>
  <c r="I120" i="14"/>
  <c r="H120" i="14"/>
  <c r="G119" i="14"/>
  <c r="G118" i="14"/>
  <c r="G117" i="14"/>
  <c r="K116" i="14"/>
  <c r="J116" i="14"/>
  <c r="I116" i="14"/>
  <c r="H116" i="14"/>
  <c r="G116" i="14" s="1"/>
  <c r="G115" i="14"/>
  <c r="G114" i="14"/>
  <c r="G113" i="14"/>
  <c r="G112" i="14"/>
  <c r="G111" i="14"/>
  <c r="G110" i="14"/>
  <c r="K109" i="14"/>
  <c r="K102" i="14" s="1"/>
  <c r="K100" i="14" s="1"/>
  <c r="K99" i="14" s="1"/>
  <c r="J109" i="14"/>
  <c r="I109" i="14"/>
  <c r="H109" i="14"/>
  <c r="H102" i="14" s="1"/>
  <c r="G109" i="14"/>
  <c r="G108" i="14"/>
  <c r="G107" i="14"/>
  <c r="K106" i="14"/>
  <c r="J106" i="14"/>
  <c r="G106" i="14" s="1"/>
  <c r="I106" i="14"/>
  <c r="H106" i="14"/>
  <c r="G105" i="14"/>
  <c r="G104" i="14"/>
  <c r="K103" i="14"/>
  <c r="J103" i="14"/>
  <c r="I103" i="14"/>
  <c r="H103" i="14"/>
  <c r="J102" i="14"/>
  <c r="J100" i="14" s="1"/>
  <c r="J99" i="14" s="1"/>
  <c r="G101" i="14"/>
  <c r="H100" i="14"/>
  <c r="G98" i="14"/>
  <c r="G97" i="14"/>
  <c r="G96" i="14"/>
  <c r="K95" i="14"/>
  <c r="J95" i="14"/>
  <c r="J93" i="14" s="1"/>
  <c r="I95" i="14"/>
  <c r="H95" i="14"/>
  <c r="G94" i="14"/>
  <c r="K93" i="14"/>
  <c r="H93" i="14"/>
  <c r="G91" i="14"/>
  <c r="G90" i="14"/>
  <c r="J89" i="14"/>
  <c r="J86" i="14"/>
  <c r="I86" i="14"/>
  <c r="H86" i="14"/>
  <c r="G85" i="14"/>
  <c r="G84" i="14"/>
  <c r="G82" i="14"/>
  <c r="G81" i="14"/>
  <c r="G79" i="14"/>
  <c r="K76" i="14"/>
  <c r="J76" i="14"/>
  <c r="I76" i="14"/>
  <c r="G76" i="14" s="1"/>
  <c r="H76" i="14"/>
  <c r="G75" i="14"/>
  <c r="G74" i="14"/>
  <c r="J73" i="14"/>
  <c r="K73" i="14" s="1"/>
  <c r="G72" i="14"/>
  <c r="G71" i="14"/>
  <c r="J70" i="14"/>
  <c r="I70" i="14"/>
  <c r="H70" i="14"/>
  <c r="G69" i="14"/>
  <c r="G68" i="14"/>
  <c r="G66" i="14"/>
  <c r="J65" i="14"/>
  <c r="I64" i="14"/>
  <c r="H64" i="14"/>
  <c r="H62" i="14"/>
  <c r="K60" i="14"/>
  <c r="I60" i="14"/>
  <c r="K57" i="14"/>
  <c r="J57" i="14"/>
  <c r="G57" i="14" s="1"/>
  <c r="I57" i="14"/>
  <c r="H57" i="14"/>
  <c r="K54" i="14"/>
  <c r="K52" i="14" s="1"/>
  <c r="J54" i="14"/>
  <c r="I54" i="14"/>
  <c r="H54" i="14"/>
  <c r="G53" i="14"/>
  <c r="I52" i="14"/>
  <c r="I87" i="14" s="1"/>
  <c r="J49" i="14"/>
  <c r="I49" i="14"/>
  <c r="H49" i="14"/>
  <c r="K48" i="14"/>
  <c r="G48" i="14"/>
  <c r="G47" i="14"/>
  <c r="G45" i="14"/>
  <c r="G44" i="14"/>
  <c r="G42" i="14"/>
  <c r="K39" i="14"/>
  <c r="J39" i="14"/>
  <c r="I39" i="14"/>
  <c r="I33" i="14" s="1"/>
  <c r="H39" i="14"/>
  <c r="H33" i="14" s="1"/>
  <c r="G33" i="14" s="1"/>
  <c r="G38" i="14"/>
  <c r="G37" i="14"/>
  <c r="K121" i="14"/>
  <c r="G35" i="14"/>
  <c r="G34" i="14"/>
  <c r="K33" i="14"/>
  <c r="J33" i="14"/>
  <c r="G32" i="14"/>
  <c r="G31" i="14"/>
  <c r="G29" i="14"/>
  <c r="J28" i="14"/>
  <c r="H43" i="14" s="1"/>
  <c r="G28" i="14"/>
  <c r="J27" i="14"/>
  <c r="I27" i="14"/>
  <c r="H27" i="14"/>
  <c r="J25" i="14"/>
  <c r="K23" i="14"/>
  <c r="J23" i="14"/>
  <c r="I23" i="14"/>
  <c r="H23" i="14"/>
  <c r="K20" i="14"/>
  <c r="J20" i="14"/>
  <c r="J15" i="14" s="1"/>
  <c r="I20" i="14"/>
  <c r="H20" i="14"/>
  <c r="K17" i="14"/>
  <c r="K15" i="14" s="1"/>
  <c r="J17" i="14"/>
  <c r="I17" i="14"/>
  <c r="H17" i="14"/>
  <c r="H15" i="14" s="1"/>
  <c r="G17" i="14"/>
  <c r="G16" i="14"/>
  <c r="I15" i="14"/>
  <c r="I50" i="14" s="1"/>
  <c r="D9" i="14"/>
  <c r="K120" i="14" l="1"/>
  <c r="G120" i="14" s="1"/>
  <c r="K143" i="14"/>
  <c r="K142" i="14" s="1"/>
  <c r="H52" i="14"/>
  <c r="J142" i="14"/>
  <c r="H50" i="14"/>
  <c r="G15" i="14"/>
  <c r="G20" i="14"/>
  <c r="G65" i="14"/>
  <c r="J64" i="14"/>
  <c r="G121" i="14"/>
  <c r="G126" i="14"/>
  <c r="G135" i="14"/>
  <c r="H133" i="14"/>
  <c r="G25" i="14"/>
  <c r="K30" i="14"/>
  <c r="H60" i="14"/>
  <c r="H80" i="14"/>
  <c r="J62" i="14"/>
  <c r="J60" i="14" s="1"/>
  <c r="J52" i="14" s="1"/>
  <c r="K70" i="14"/>
  <c r="G70" i="14" s="1"/>
  <c r="K89" i="14"/>
  <c r="G89" i="14" s="1"/>
  <c r="G73" i="14"/>
  <c r="H99" i="14"/>
  <c r="I102" i="14"/>
  <c r="I100" i="14" s="1"/>
  <c r="I99" i="14" s="1"/>
  <c r="G103" i="14"/>
  <c r="I132" i="14"/>
  <c r="G23" i="14"/>
  <c r="G36" i="14"/>
  <c r="G39" i="14"/>
  <c r="G54" i="14"/>
  <c r="G95" i="14"/>
  <c r="I93" i="14"/>
  <c r="G93" i="14" s="1"/>
  <c r="I142" i="14"/>
  <c r="K46" i="14" l="1"/>
  <c r="G46" i="14" s="1"/>
  <c r="G30" i="14"/>
  <c r="K27" i="14"/>
  <c r="J43" i="14"/>
  <c r="H87" i="14"/>
  <c r="G52" i="14"/>
  <c r="G99" i="14"/>
  <c r="K49" i="14"/>
  <c r="G49" i="14" s="1"/>
  <c r="G102" i="14"/>
  <c r="G100" i="14"/>
  <c r="G60" i="14"/>
  <c r="G133" i="14"/>
  <c r="H132" i="14"/>
  <c r="G132" i="14" s="1"/>
  <c r="G143" i="14"/>
  <c r="G142" i="14"/>
  <c r="G62" i="14"/>
  <c r="K83" i="14" s="1"/>
  <c r="J50" i="14" l="1"/>
  <c r="G43" i="14"/>
  <c r="K86" i="14"/>
  <c r="G86" i="14" s="1"/>
  <c r="G83" i="14"/>
  <c r="K67" i="14"/>
  <c r="G27" i="14"/>
  <c r="K50" i="14"/>
  <c r="G50" i="14" l="1"/>
  <c r="J80" i="14"/>
  <c r="G67" i="14"/>
  <c r="K64" i="14"/>
  <c r="J87" i="14" l="1"/>
  <c r="G87" i="14" s="1"/>
  <c r="G80" i="14"/>
  <c r="K87" i="14"/>
  <c r="G64" i="14"/>
  <c r="F151" i="13" l="1"/>
  <c r="I148" i="13"/>
  <c r="F148" i="13"/>
  <c r="G146" i="13"/>
  <c r="G145" i="13"/>
  <c r="K144" i="13"/>
  <c r="J144" i="13"/>
  <c r="I144" i="13"/>
  <c r="H144" i="13"/>
  <c r="G144" i="13"/>
  <c r="J143" i="13"/>
  <c r="I142" i="13"/>
  <c r="H142" i="13"/>
  <c r="G141" i="13"/>
  <c r="G140" i="13"/>
  <c r="G139" i="13"/>
  <c r="K138" i="13"/>
  <c r="K132" i="13" s="1"/>
  <c r="J138" i="13"/>
  <c r="I138" i="13"/>
  <c r="H138" i="13"/>
  <c r="G138" i="13"/>
  <c r="G137" i="13"/>
  <c r="G136" i="13"/>
  <c r="K135" i="13"/>
  <c r="J135" i="13"/>
  <c r="J133" i="13" s="1"/>
  <c r="J132" i="13" s="1"/>
  <c r="I135" i="13"/>
  <c r="H135" i="13"/>
  <c r="G135" i="13" s="1"/>
  <c r="G134" i="13"/>
  <c r="K133" i="13"/>
  <c r="I133" i="13"/>
  <c r="H133" i="13"/>
  <c r="I132" i="13"/>
  <c r="G131" i="13"/>
  <c r="G130" i="13"/>
  <c r="G129" i="13"/>
  <c r="K128" i="13"/>
  <c r="J128" i="13"/>
  <c r="I128" i="13"/>
  <c r="G128" i="13" s="1"/>
  <c r="H128" i="13"/>
  <c r="G127" i="13"/>
  <c r="K126" i="13"/>
  <c r="J126" i="13"/>
  <c r="H126" i="13"/>
  <c r="G124" i="13"/>
  <c r="G123" i="13"/>
  <c r="K122" i="13"/>
  <c r="J122" i="13"/>
  <c r="I122" i="13"/>
  <c r="H122" i="13"/>
  <c r="G122" i="13" s="1"/>
  <c r="K121" i="13"/>
  <c r="K120" i="13" s="1"/>
  <c r="J121" i="13"/>
  <c r="J120" i="13"/>
  <c r="I120" i="13"/>
  <c r="H120" i="13"/>
  <c r="G120" i="13" s="1"/>
  <c r="G119" i="13"/>
  <c r="G118" i="13"/>
  <c r="G117" i="13"/>
  <c r="K116" i="13"/>
  <c r="J116" i="13"/>
  <c r="I116" i="13"/>
  <c r="H116" i="13"/>
  <c r="G116" i="13" s="1"/>
  <c r="G115" i="13"/>
  <c r="G114" i="13"/>
  <c r="G113" i="13"/>
  <c r="G112" i="13"/>
  <c r="G111" i="13"/>
  <c r="G110" i="13"/>
  <c r="K109" i="13"/>
  <c r="J109" i="13"/>
  <c r="I109" i="13"/>
  <c r="G109" i="13" s="1"/>
  <c r="H109" i="13"/>
  <c r="G108" i="13"/>
  <c r="G107" i="13"/>
  <c r="K106" i="13"/>
  <c r="J106" i="13"/>
  <c r="I106" i="13"/>
  <c r="H106" i="13"/>
  <c r="G106" i="13" s="1"/>
  <c r="G105" i="13"/>
  <c r="G104" i="13"/>
  <c r="K103" i="13"/>
  <c r="K102" i="13" s="1"/>
  <c r="K100" i="13" s="1"/>
  <c r="K99" i="13" s="1"/>
  <c r="J103" i="13"/>
  <c r="I103" i="13"/>
  <c r="I102" i="13" s="1"/>
  <c r="I100" i="13" s="1"/>
  <c r="I99" i="13" s="1"/>
  <c r="H103" i="13"/>
  <c r="G103" i="13"/>
  <c r="J102" i="13"/>
  <c r="H102" i="13"/>
  <c r="G101" i="13"/>
  <c r="J100" i="13"/>
  <c r="J99" i="13" s="1"/>
  <c r="G98" i="13"/>
  <c r="G97" i="13"/>
  <c r="G96" i="13"/>
  <c r="K95" i="13"/>
  <c r="K93" i="13" s="1"/>
  <c r="J95" i="13"/>
  <c r="I95" i="13"/>
  <c r="H95" i="13"/>
  <c r="H93" i="13" s="1"/>
  <c r="G95" i="13"/>
  <c r="G94" i="13"/>
  <c r="J93" i="13"/>
  <c r="I93" i="13"/>
  <c r="G91" i="13"/>
  <c r="G90" i="13"/>
  <c r="J86" i="13"/>
  <c r="I86" i="13"/>
  <c r="H86" i="13"/>
  <c r="G85" i="13"/>
  <c r="G84" i="13"/>
  <c r="G82" i="13"/>
  <c r="G81" i="13"/>
  <c r="G79" i="13"/>
  <c r="K76" i="13"/>
  <c r="J76" i="13"/>
  <c r="I76" i="13"/>
  <c r="H76" i="13"/>
  <c r="G76" i="13"/>
  <c r="G75" i="13"/>
  <c r="G74" i="13"/>
  <c r="J73" i="13"/>
  <c r="K73" i="13" s="1"/>
  <c r="G72" i="13"/>
  <c r="G71" i="13"/>
  <c r="I70" i="13"/>
  <c r="H70" i="13"/>
  <c r="G69" i="13"/>
  <c r="G68" i="13"/>
  <c r="G66" i="13"/>
  <c r="I64" i="13"/>
  <c r="H64" i="13"/>
  <c r="H62" i="13"/>
  <c r="K60" i="13"/>
  <c r="I60" i="13"/>
  <c r="K57" i="13"/>
  <c r="J57" i="13"/>
  <c r="I57" i="13"/>
  <c r="H57" i="13"/>
  <c r="K54" i="13"/>
  <c r="J54" i="13"/>
  <c r="I54" i="13"/>
  <c r="G54" i="13" s="1"/>
  <c r="H54" i="13"/>
  <c r="G53" i="13"/>
  <c r="K52" i="13"/>
  <c r="J49" i="13"/>
  <c r="I49" i="13"/>
  <c r="H49" i="13"/>
  <c r="K48" i="13"/>
  <c r="G48" i="13"/>
  <c r="G47" i="13"/>
  <c r="K46" i="13"/>
  <c r="G46" i="13" s="1"/>
  <c r="G45" i="13"/>
  <c r="G44" i="13"/>
  <c r="J43" i="13"/>
  <c r="G42" i="13"/>
  <c r="K39" i="13"/>
  <c r="J39" i="13"/>
  <c r="I39" i="13"/>
  <c r="G39" i="13" s="1"/>
  <c r="H39" i="13"/>
  <c r="G38" i="13"/>
  <c r="G37" i="13"/>
  <c r="G36" i="13"/>
  <c r="G35" i="13"/>
  <c r="G34" i="13"/>
  <c r="K33" i="13"/>
  <c r="J33" i="13"/>
  <c r="H33" i="13"/>
  <c r="G32" i="13"/>
  <c r="G31" i="13"/>
  <c r="K30" i="13"/>
  <c r="G30" i="13"/>
  <c r="G29" i="13"/>
  <c r="J28" i="13"/>
  <c r="H43" i="13" s="1"/>
  <c r="G43" i="13" s="1"/>
  <c r="K27" i="13"/>
  <c r="I27" i="13"/>
  <c r="H27" i="13"/>
  <c r="G25" i="13"/>
  <c r="K23" i="13"/>
  <c r="J23" i="13"/>
  <c r="I23" i="13"/>
  <c r="G23" i="13" s="1"/>
  <c r="H23" i="13"/>
  <c r="K20" i="13"/>
  <c r="J20" i="13"/>
  <c r="J15" i="13" s="1"/>
  <c r="I20" i="13"/>
  <c r="H20" i="13"/>
  <c r="G20" i="13" s="1"/>
  <c r="K17" i="13"/>
  <c r="K15" i="13" s="1"/>
  <c r="K50" i="13" s="1"/>
  <c r="J17" i="13"/>
  <c r="I17" i="13"/>
  <c r="H17" i="13"/>
  <c r="G17" i="13"/>
  <c r="G16" i="13"/>
  <c r="I15" i="13"/>
  <c r="D9" i="13"/>
  <c r="K70" i="13" l="1"/>
  <c r="K89" i="13"/>
  <c r="G93" i="13"/>
  <c r="G133" i="13"/>
  <c r="G102" i="13"/>
  <c r="I33" i="13"/>
  <c r="G33" i="13" s="1"/>
  <c r="K49" i="13"/>
  <c r="G49" i="13" s="1"/>
  <c r="I52" i="13"/>
  <c r="I87" i="13" s="1"/>
  <c r="J65" i="13"/>
  <c r="J89" i="13"/>
  <c r="G89" i="13" s="1"/>
  <c r="H100" i="13"/>
  <c r="G121" i="13"/>
  <c r="I126" i="13"/>
  <c r="G126" i="13" s="1"/>
  <c r="H15" i="13"/>
  <c r="J27" i="13"/>
  <c r="G27" i="13" s="1"/>
  <c r="G57" i="13"/>
  <c r="J62" i="13"/>
  <c r="J60" i="13" s="1"/>
  <c r="J52" i="13" s="1"/>
  <c r="J70" i="13"/>
  <c r="G70" i="13" s="1"/>
  <c r="G73" i="13"/>
  <c r="H80" i="13"/>
  <c r="H132" i="13"/>
  <c r="G132" i="13" s="1"/>
  <c r="J142" i="13"/>
  <c r="G142" i="13" s="1"/>
  <c r="K143" i="13"/>
  <c r="K142" i="13" s="1"/>
  <c r="G28" i="13"/>
  <c r="H60" i="13"/>
  <c r="G60" i="13" s="1"/>
  <c r="G65" i="13" l="1"/>
  <c r="J64" i="13"/>
  <c r="I50" i="13"/>
  <c r="J50" i="13"/>
  <c r="G62" i="13"/>
  <c r="K83" i="13" s="1"/>
  <c r="H52" i="13"/>
  <c r="H50" i="13"/>
  <c r="G15" i="13"/>
  <c r="G100" i="13"/>
  <c r="H99" i="13"/>
  <c r="G99" i="13" s="1"/>
  <c r="G143" i="13"/>
  <c r="H87" i="13" l="1"/>
  <c r="G52" i="13"/>
  <c r="K86" i="13"/>
  <c r="G86" i="13" s="1"/>
  <c r="G83" i="13"/>
  <c r="K67" i="13"/>
  <c r="G50" i="13"/>
  <c r="J80" i="13" l="1"/>
  <c r="G67" i="13"/>
  <c r="K64" i="13"/>
  <c r="K87" i="13" l="1"/>
  <c r="G64" i="13"/>
  <c r="G80" i="13"/>
  <c r="J87" i="13"/>
  <c r="G87" i="13" l="1"/>
  <c r="F151" i="12" l="1"/>
  <c r="I148" i="12"/>
  <c r="F148" i="12"/>
  <c r="G146" i="12"/>
  <c r="G145" i="12"/>
  <c r="K144" i="12"/>
  <c r="J144" i="12"/>
  <c r="I144" i="12"/>
  <c r="G144" i="12" s="1"/>
  <c r="H144" i="12"/>
  <c r="K143" i="12"/>
  <c r="K142" i="12" s="1"/>
  <c r="J143" i="12"/>
  <c r="I142" i="12"/>
  <c r="H142" i="12"/>
  <c r="G141" i="12"/>
  <c r="G140" i="12"/>
  <c r="G139" i="12"/>
  <c r="K138" i="12"/>
  <c r="J138" i="12"/>
  <c r="I138" i="12"/>
  <c r="G138" i="12" s="1"/>
  <c r="H138" i="12"/>
  <c r="G137" i="12"/>
  <c r="G136" i="12"/>
  <c r="K135" i="12"/>
  <c r="J135" i="12"/>
  <c r="I135" i="12"/>
  <c r="I133" i="12" s="1"/>
  <c r="H135" i="12"/>
  <c r="G134" i="12"/>
  <c r="K133" i="12"/>
  <c r="J133" i="12"/>
  <c r="J132" i="12" s="1"/>
  <c r="K132" i="12"/>
  <c r="G131" i="12"/>
  <c r="G130" i="12"/>
  <c r="G129" i="12"/>
  <c r="K128" i="12"/>
  <c r="K126" i="12" s="1"/>
  <c r="J128" i="12"/>
  <c r="I128" i="12"/>
  <c r="H128" i="12"/>
  <c r="H126" i="12" s="1"/>
  <c r="G128" i="12"/>
  <c r="G127" i="12"/>
  <c r="J126" i="12"/>
  <c r="I126" i="12"/>
  <c r="G124" i="12"/>
  <c r="G123" i="12"/>
  <c r="K122" i="12"/>
  <c r="J122" i="12"/>
  <c r="I122" i="12"/>
  <c r="H122" i="12"/>
  <c r="G122" i="12" s="1"/>
  <c r="K121" i="12"/>
  <c r="K120" i="12" s="1"/>
  <c r="J121" i="12"/>
  <c r="J120" i="12" s="1"/>
  <c r="G121" i="12"/>
  <c r="I120" i="12"/>
  <c r="G119" i="12"/>
  <c r="G118" i="12"/>
  <c r="G117" i="12"/>
  <c r="K116" i="12"/>
  <c r="J116" i="12"/>
  <c r="I116" i="12"/>
  <c r="H116" i="12"/>
  <c r="G116" i="12" s="1"/>
  <c r="G115" i="12"/>
  <c r="G114" i="12"/>
  <c r="G113" i="12"/>
  <c r="G112" i="12"/>
  <c r="G111" i="12"/>
  <c r="G110" i="12"/>
  <c r="K109" i="12"/>
  <c r="K102" i="12" s="1"/>
  <c r="K100" i="12" s="1"/>
  <c r="K99" i="12" s="1"/>
  <c r="J109" i="12"/>
  <c r="I109" i="12"/>
  <c r="H109" i="12"/>
  <c r="H102" i="12" s="1"/>
  <c r="G109" i="12"/>
  <c r="G108" i="12"/>
  <c r="G107" i="12"/>
  <c r="K106" i="12"/>
  <c r="J106" i="12"/>
  <c r="G106" i="12" s="1"/>
  <c r="I106" i="12"/>
  <c r="H106" i="12"/>
  <c r="G105" i="12"/>
  <c r="G104" i="12"/>
  <c r="K103" i="12"/>
  <c r="J103" i="12"/>
  <c r="I103" i="12"/>
  <c r="H103" i="12"/>
  <c r="J102" i="12"/>
  <c r="J100" i="12" s="1"/>
  <c r="J99" i="12" s="1"/>
  <c r="G101" i="12"/>
  <c r="H100" i="12"/>
  <c r="G98" i="12"/>
  <c r="G97" i="12"/>
  <c r="G96" i="12"/>
  <c r="K95" i="12"/>
  <c r="J95" i="12"/>
  <c r="J93" i="12" s="1"/>
  <c r="I95" i="12"/>
  <c r="H95" i="12"/>
  <c r="G94" i="12"/>
  <c r="K93" i="12"/>
  <c r="H93" i="12"/>
  <c r="G91" i="12"/>
  <c r="G90" i="12"/>
  <c r="J89" i="12"/>
  <c r="J86" i="12"/>
  <c r="I86" i="12"/>
  <c r="H86" i="12"/>
  <c r="G85" i="12"/>
  <c r="G84" i="12"/>
  <c r="G82" i="12"/>
  <c r="G81" i="12"/>
  <c r="G79" i="12"/>
  <c r="K76" i="12"/>
  <c r="J76" i="12"/>
  <c r="I76" i="12"/>
  <c r="G76" i="12" s="1"/>
  <c r="H76" i="12"/>
  <c r="G75" i="12"/>
  <c r="G74" i="12"/>
  <c r="J73" i="12"/>
  <c r="K73" i="12" s="1"/>
  <c r="G72" i="12"/>
  <c r="G71" i="12"/>
  <c r="J70" i="12"/>
  <c r="I70" i="12"/>
  <c r="H70" i="12"/>
  <c r="G69" i="12"/>
  <c r="G68" i="12"/>
  <c r="G66" i="12"/>
  <c r="J65" i="12"/>
  <c r="I64" i="12"/>
  <c r="H64" i="12"/>
  <c r="H62" i="12"/>
  <c r="K60" i="12"/>
  <c r="I60" i="12"/>
  <c r="I52" i="12" s="1"/>
  <c r="I87" i="12" s="1"/>
  <c r="K57" i="12"/>
  <c r="J57" i="12"/>
  <c r="I57" i="12"/>
  <c r="H57" i="12"/>
  <c r="K54" i="12"/>
  <c r="K52" i="12" s="1"/>
  <c r="J54" i="12"/>
  <c r="I54" i="12"/>
  <c r="H54" i="12"/>
  <c r="G54" i="12"/>
  <c r="G53" i="12"/>
  <c r="K49" i="12"/>
  <c r="J49" i="12"/>
  <c r="I49" i="12"/>
  <c r="H49" i="12"/>
  <c r="G49" i="12"/>
  <c r="K48" i="12"/>
  <c r="G48" i="12"/>
  <c r="G47" i="12"/>
  <c r="G46" i="12"/>
  <c r="G45" i="12"/>
  <c r="G44" i="12"/>
  <c r="G42" i="12"/>
  <c r="K39" i="12"/>
  <c r="K33" i="12" s="1"/>
  <c r="J39" i="12"/>
  <c r="J33" i="12" s="1"/>
  <c r="I39" i="12"/>
  <c r="H39" i="12"/>
  <c r="G39" i="12"/>
  <c r="G38" i="12"/>
  <c r="G37" i="12"/>
  <c r="G36" i="12"/>
  <c r="G35" i="12"/>
  <c r="G34" i="12"/>
  <c r="I33" i="12"/>
  <c r="H33" i="12"/>
  <c r="G32" i="12"/>
  <c r="G31" i="12"/>
  <c r="K30" i="12"/>
  <c r="G29" i="12"/>
  <c r="J28" i="12"/>
  <c r="J27" i="12" s="1"/>
  <c r="I27" i="12"/>
  <c r="H27" i="12"/>
  <c r="G25" i="12"/>
  <c r="K23" i="12"/>
  <c r="J23" i="12"/>
  <c r="G23" i="12" s="1"/>
  <c r="I23" i="12"/>
  <c r="H23" i="12"/>
  <c r="K20" i="12"/>
  <c r="J20" i="12"/>
  <c r="I20" i="12"/>
  <c r="H20" i="12"/>
  <c r="G20" i="12"/>
  <c r="K17" i="12"/>
  <c r="J17" i="12"/>
  <c r="I17" i="12"/>
  <c r="I15" i="12" s="1"/>
  <c r="H17" i="12"/>
  <c r="G16" i="12"/>
  <c r="K15" i="12"/>
  <c r="D9" i="12"/>
  <c r="G142" i="12" l="1"/>
  <c r="G33" i="12"/>
  <c r="G65" i="12"/>
  <c r="J64" i="12"/>
  <c r="G143" i="12"/>
  <c r="J142" i="12"/>
  <c r="G17" i="12"/>
  <c r="H15" i="12"/>
  <c r="G30" i="12"/>
  <c r="K27" i="12"/>
  <c r="K50" i="12" s="1"/>
  <c r="H43" i="12"/>
  <c r="G43" i="12" s="1"/>
  <c r="G57" i="12"/>
  <c r="G62" i="12"/>
  <c r="H60" i="12"/>
  <c r="G60" i="12" s="1"/>
  <c r="H80" i="12"/>
  <c r="J62" i="12"/>
  <c r="J60" i="12" s="1"/>
  <c r="J52" i="12" s="1"/>
  <c r="G70" i="12"/>
  <c r="K70" i="12"/>
  <c r="K89" i="12"/>
  <c r="G89" i="12" s="1"/>
  <c r="G73" i="12"/>
  <c r="G100" i="12"/>
  <c r="H99" i="12"/>
  <c r="I102" i="12"/>
  <c r="I100" i="12" s="1"/>
  <c r="I99" i="12" s="1"/>
  <c r="G103" i="12"/>
  <c r="G102" i="12"/>
  <c r="G126" i="12"/>
  <c r="G135" i="12"/>
  <c r="H133" i="12"/>
  <c r="J15" i="12"/>
  <c r="J50" i="12" s="1"/>
  <c r="I50" i="12"/>
  <c r="G28" i="12"/>
  <c r="J43" i="12"/>
  <c r="G95" i="12"/>
  <c r="I93" i="12"/>
  <c r="G93" i="12" s="1"/>
  <c r="H120" i="12"/>
  <c r="G120" i="12" s="1"/>
  <c r="I132" i="12"/>
  <c r="G133" i="12" l="1"/>
  <c r="H132" i="12"/>
  <c r="G132" i="12" s="1"/>
  <c r="K83" i="12"/>
  <c r="H52" i="12"/>
  <c r="G99" i="12"/>
  <c r="H50" i="12"/>
  <c r="G50" i="12" s="1"/>
  <c r="G15" i="12"/>
  <c r="G27" i="12"/>
  <c r="H87" i="12" l="1"/>
  <c r="G52" i="12"/>
  <c r="K86" i="12"/>
  <c r="G86" i="12" s="1"/>
  <c r="G83" i="12"/>
  <c r="K67" i="12"/>
  <c r="J80" i="12" l="1"/>
  <c r="G67" i="12"/>
  <c r="K64" i="12"/>
  <c r="K87" i="12" l="1"/>
  <c r="G64" i="12"/>
  <c r="J87" i="12"/>
  <c r="G87" i="12" s="1"/>
  <c r="G80" i="12"/>
  <c r="F151" i="11" l="1"/>
  <c r="I148" i="11"/>
  <c r="F148" i="11"/>
  <c r="G146" i="11"/>
  <c r="G145" i="11"/>
  <c r="K144" i="11"/>
  <c r="J144" i="11"/>
  <c r="I144" i="11"/>
  <c r="G144" i="11" s="1"/>
  <c r="H144" i="11"/>
  <c r="J143" i="11"/>
  <c r="H142" i="11"/>
  <c r="G141" i="11"/>
  <c r="G140" i="11"/>
  <c r="G139" i="11"/>
  <c r="K138" i="11"/>
  <c r="J138" i="11"/>
  <c r="I138" i="11"/>
  <c r="G138" i="11" s="1"/>
  <c r="H138" i="11"/>
  <c r="G137" i="11"/>
  <c r="G136" i="11"/>
  <c r="K135" i="11"/>
  <c r="J135" i="11"/>
  <c r="I135" i="11"/>
  <c r="I133" i="11" s="1"/>
  <c r="I132" i="11" s="1"/>
  <c r="H135" i="11"/>
  <c r="G134" i="11"/>
  <c r="K133" i="11"/>
  <c r="J133" i="11"/>
  <c r="J132" i="11" s="1"/>
  <c r="K132" i="11"/>
  <c r="G131" i="11"/>
  <c r="G130" i="11"/>
  <c r="G129" i="11"/>
  <c r="K128" i="11"/>
  <c r="K126" i="11" s="1"/>
  <c r="J128" i="11"/>
  <c r="I128" i="11"/>
  <c r="H128" i="11"/>
  <c r="H126" i="11" s="1"/>
  <c r="G128" i="11"/>
  <c r="G127" i="11"/>
  <c r="J126" i="11"/>
  <c r="I126" i="11"/>
  <c r="G124" i="11"/>
  <c r="G123" i="11"/>
  <c r="K122" i="11"/>
  <c r="J122" i="11"/>
  <c r="I122" i="11"/>
  <c r="H122" i="11"/>
  <c r="G122" i="11" s="1"/>
  <c r="J121" i="11"/>
  <c r="J120" i="11" s="1"/>
  <c r="I120" i="11"/>
  <c r="H120" i="11"/>
  <c r="G119" i="11"/>
  <c r="G118" i="11"/>
  <c r="G117" i="11"/>
  <c r="K116" i="11"/>
  <c r="J116" i="11"/>
  <c r="I116" i="11"/>
  <c r="H116" i="11"/>
  <c r="G116" i="11" s="1"/>
  <c r="G115" i="11"/>
  <c r="G114" i="11"/>
  <c r="G113" i="11"/>
  <c r="G112" i="11"/>
  <c r="G111" i="11"/>
  <c r="G110" i="11"/>
  <c r="K109" i="11"/>
  <c r="K102" i="11" s="1"/>
  <c r="K100" i="11" s="1"/>
  <c r="K99" i="11" s="1"/>
  <c r="J109" i="11"/>
  <c r="I109" i="11"/>
  <c r="H109" i="11"/>
  <c r="H102" i="11" s="1"/>
  <c r="G109" i="11"/>
  <c r="G108" i="11"/>
  <c r="G107" i="11"/>
  <c r="K106" i="11"/>
  <c r="J106" i="11"/>
  <c r="G106" i="11" s="1"/>
  <c r="I106" i="11"/>
  <c r="H106" i="11"/>
  <c r="G105" i="11"/>
  <c r="G104" i="11"/>
  <c r="K103" i="11"/>
  <c r="J103" i="11"/>
  <c r="I103" i="11"/>
  <c r="H103" i="11"/>
  <c r="J102" i="11"/>
  <c r="J100" i="11" s="1"/>
  <c r="J99" i="11" s="1"/>
  <c r="G101" i="11"/>
  <c r="H100" i="11"/>
  <c r="G98" i="11"/>
  <c r="G97" i="11"/>
  <c r="G96" i="11"/>
  <c r="K95" i="11"/>
  <c r="J95" i="11"/>
  <c r="J93" i="11" s="1"/>
  <c r="I95" i="11"/>
  <c r="H95" i="11"/>
  <c r="G94" i="11"/>
  <c r="K93" i="11"/>
  <c r="H93" i="11"/>
  <c r="G91" i="11"/>
  <c r="G90" i="11"/>
  <c r="J89" i="11"/>
  <c r="J86" i="11"/>
  <c r="I86" i="11"/>
  <c r="H86" i="11"/>
  <c r="G85" i="11"/>
  <c r="G84" i="11"/>
  <c r="G82" i="11"/>
  <c r="G81" i="11"/>
  <c r="G79" i="11"/>
  <c r="K76" i="11"/>
  <c r="J76" i="11"/>
  <c r="I76" i="11"/>
  <c r="G76" i="11" s="1"/>
  <c r="H76" i="11"/>
  <c r="G75" i="11"/>
  <c r="G74" i="11"/>
  <c r="J73" i="11"/>
  <c r="K73" i="11" s="1"/>
  <c r="G72" i="11"/>
  <c r="G71" i="11"/>
  <c r="J70" i="11"/>
  <c r="I70" i="11"/>
  <c r="H70" i="11"/>
  <c r="G69" i="11"/>
  <c r="G68" i="11"/>
  <c r="G66" i="11"/>
  <c r="I64" i="11"/>
  <c r="H64" i="11"/>
  <c r="H62" i="11"/>
  <c r="K60" i="11"/>
  <c r="I60" i="11"/>
  <c r="I52" i="11" s="1"/>
  <c r="I87" i="11" s="1"/>
  <c r="K57" i="11"/>
  <c r="J57" i="11"/>
  <c r="I57" i="11"/>
  <c r="H57" i="11"/>
  <c r="K54" i="11"/>
  <c r="K52" i="11" s="1"/>
  <c r="J54" i="11"/>
  <c r="I54" i="11"/>
  <c r="H54" i="11"/>
  <c r="G54" i="11"/>
  <c r="G53" i="11"/>
  <c r="K49" i="11"/>
  <c r="J49" i="11"/>
  <c r="I49" i="11"/>
  <c r="H49" i="11"/>
  <c r="K48" i="11"/>
  <c r="G48" i="11"/>
  <c r="G47" i="11"/>
  <c r="G46" i="11"/>
  <c r="G45" i="11"/>
  <c r="G44" i="11"/>
  <c r="J43" i="11"/>
  <c r="G42" i="11"/>
  <c r="K39" i="11"/>
  <c r="K33" i="11" s="1"/>
  <c r="J39" i="11"/>
  <c r="J33" i="11" s="1"/>
  <c r="I39" i="11"/>
  <c r="H39" i="11"/>
  <c r="H33" i="11" s="1"/>
  <c r="G38" i="11"/>
  <c r="G37" i="11"/>
  <c r="K36" i="11"/>
  <c r="K121" i="11" s="1"/>
  <c r="G36" i="11"/>
  <c r="G35" i="11"/>
  <c r="G34" i="11"/>
  <c r="I33" i="11"/>
  <c r="G32" i="11"/>
  <c r="G31" i="11"/>
  <c r="K30" i="11"/>
  <c r="G30" i="11"/>
  <c r="G29" i="11"/>
  <c r="J28" i="11"/>
  <c r="G28" i="11" s="1"/>
  <c r="K27" i="11"/>
  <c r="J27" i="11"/>
  <c r="J50" i="11" s="1"/>
  <c r="I27" i="11"/>
  <c r="G27" i="11" s="1"/>
  <c r="H27" i="11"/>
  <c r="G25" i="11"/>
  <c r="K23" i="11"/>
  <c r="K15" i="11" s="1"/>
  <c r="K50" i="11" s="1"/>
  <c r="J23" i="11"/>
  <c r="I23" i="11"/>
  <c r="H23" i="11"/>
  <c r="G23" i="11"/>
  <c r="K20" i="11"/>
  <c r="J20" i="11"/>
  <c r="I20" i="11"/>
  <c r="H20" i="11"/>
  <c r="G20" i="11" s="1"/>
  <c r="K17" i="11"/>
  <c r="J17" i="11"/>
  <c r="J15" i="11" s="1"/>
  <c r="I17" i="11"/>
  <c r="H17" i="11"/>
  <c r="G16" i="11"/>
  <c r="D9" i="11"/>
  <c r="G49" i="11" l="1"/>
  <c r="G57" i="11"/>
  <c r="G62" i="11"/>
  <c r="H60" i="11"/>
  <c r="G60" i="11" s="1"/>
  <c r="H80" i="11"/>
  <c r="J62" i="11"/>
  <c r="J60" i="11" s="1"/>
  <c r="J52" i="11" s="1"/>
  <c r="G70" i="11"/>
  <c r="K70" i="11"/>
  <c r="K89" i="11"/>
  <c r="G73" i="11"/>
  <c r="G100" i="11"/>
  <c r="H99" i="11"/>
  <c r="I102" i="11"/>
  <c r="I100" i="11" s="1"/>
  <c r="I99" i="11" s="1"/>
  <c r="G103" i="11"/>
  <c r="G102" i="11"/>
  <c r="G39" i="11"/>
  <c r="G89" i="11"/>
  <c r="G95" i="11"/>
  <c r="I93" i="11"/>
  <c r="G93" i="11" s="1"/>
  <c r="I142" i="11"/>
  <c r="H15" i="11"/>
  <c r="G17" i="11"/>
  <c r="I15" i="11"/>
  <c r="I50" i="11" s="1"/>
  <c r="K120" i="11"/>
  <c r="G120" i="11" s="1"/>
  <c r="K143" i="11"/>
  <c r="K142" i="11" s="1"/>
  <c r="G33" i="11"/>
  <c r="G143" i="11"/>
  <c r="J142" i="11"/>
  <c r="H43" i="11"/>
  <c r="G43" i="11" s="1"/>
  <c r="J65" i="11"/>
  <c r="G121" i="11"/>
  <c r="G126" i="11"/>
  <c r="G135" i="11"/>
  <c r="H133" i="11"/>
  <c r="G133" i="11" l="1"/>
  <c r="H132" i="11"/>
  <c r="G132" i="11" s="1"/>
  <c r="H50" i="11"/>
  <c r="G50" i="11" s="1"/>
  <c r="G15" i="11"/>
  <c r="G65" i="11"/>
  <c r="J64" i="11"/>
  <c r="G142" i="11"/>
  <c r="K83" i="11"/>
  <c r="H52" i="11"/>
  <c r="G99" i="11"/>
  <c r="H87" i="11" l="1"/>
  <c r="G52" i="11"/>
  <c r="K86" i="11"/>
  <c r="G86" i="11" s="1"/>
  <c r="G83" i="11"/>
  <c r="K67" i="11"/>
  <c r="J80" i="11" l="1"/>
  <c r="G67" i="11"/>
  <c r="K64" i="11"/>
  <c r="K87" i="11" l="1"/>
  <c r="G64" i="11"/>
  <c r="G80" i="11"/>
  <c r="J87" i="11"/>
  <c r="G87" i="11" s="1"/>
  <c r="F151" i="10" l="1"/>
  <c r="I148" i="10"/>
  <c r="F148" i="10"/>
  <c r="G146" i="10"/>
  <c r="G145" i="10"/>
  <c r="K144" i="10"/>
  <c r="J144" i="10"/>
  <c r="I144" i="10"/>
  <c r="H144" i="10"/>
  <c r="G144" i="10"/>
  <c r="J143" i="10"/>
  <c r="I142" i="10"/>
  <c r="H142" i="10"/>
  <c r="G141" i="10"/>
  <c r="G140" i="10"/>
  <c r="G139" i="10"/>
  <c r="K138" i="10"/>
  <c r="K132" i="10" s="1"/>
  <c r="J138" i="10"/>
  <c r="I138" i="10"/>
  <c r="H138" i="10"/>
  <c r="G138" i="10"/>
  <c r="G137" i="10"/>
  <c r="G136" i="10"/>
  <c r="K135" i="10"/>
  <c r="J135" i="10"/>
  <c r="J133" i="10" s="1"/>
  <c r="J132" i="10" s="1"/>
  <c r="I135" i="10"/>
  <c r="H135" i="10"/>
  <c r="G135" i="10" s="1"/>
  <c r="G134" i="10"/>
  <c r="K133" i="10"/>
  <c r="I133" i="10"/>
  <c r="H133" i="10"/>
  <c r="G133" i="10" s="1"/>
  <c r="I132" i="10"/>
  <c r="G131" i="10"/>
  <c r="G130" i="10"/>
  <c r="G129" i="10"/>
  <c r="K128" i="10"/>
  <c r="J128" i="10"/>
  <c r="I128" i="10"/>
  <c r="G128" i="10" s="1"/>
  <c r="H128" i="10"/>
  <c r="G127" i="10"/>
  <c r="K126" i="10"/>
  <c r="J126" i="10"/>
  <c r="H126" i="10"/>
  <c r="G124" i="10"/>
  <c r="G123" i="10"/>
  <c r="K122" i="10"/>
  <c r="J122" i="10"/>
  <c r="I122" i="10"/>
  <c r="H122" i="10"/>
  <c r="G122" i="10" s="1"/>
  <c r="K121" i="10"/>
  <c r="K120" i="10" s="1"/>
  <c r="J121" i="10"/>
  <c r="J120" i="10"/>
  <c r="I120" i="10"/>
  <c r="H120" i="10"/>
  <c r="G120" i="10" s="1"/>
  <c r="G119" i="10"/>
  <c r="G118" i="10"/>
  <c r="G117" i="10"/>
  <c r="K116" i="10"/>
  <c r="J116" i="10"/>
  <c r="I116" i="10"/>
  <c r="H116" i="10"/>
  <c r="G116" i="10" s="1"/>
  <c r="G115" i="10"/>
  <c r="G114" i="10"/>
  <c r="G113" i="10"/>
  <c r="G112" i="10"/>
  <c r="G111" i="10"/>
  <c r="G110" i="10"/>
  <c r="K109" i="10"/>
  <c r="J109" i="10"/>
  <c r="I109" i="10"/>
  <c r="G109" i="10" s="1"/>
  <c r="H109" i="10"/>
  <c r="G108" i="10"/>
  <c r="G107" i="10"/>
  <c r="K106" i="10"/>
  <c r="J106" i="10"/>
  <c r="I106" i="10"/>
  <c r="H106" i="10"/>
  <c r="G106" i="10" s="1"/>
  <c r="G105" i="10"/>
  <c r="G104" i="10"/>
  <c r="K103" i="10"/>
  <c r="K102" i="10" s="1"/>
  <c r="K100" i="10" s="1"/>
  <c r="K99" i="10" s="1"/>
  <c r="J103" i="10"/>
  <c r="I103" i="10"/>
  <c r="I102" i="10" s="1"/>
  <c r="I100" i="10" s="1"/>
  <c r="I99" i="10" s="1"/>
  <c r="H103" i="10"/>
  <c r="G103" i="10"/>
  <c r="J102" i="10"/>
  <c r="H102" i="10"/>
  <c r="G102" i="10" s="1"/>
  <c r="G101" i="10"/>
  <c r="J100" i="10"/>
  <c r="J99" i="10" s="1"/>
  <c r="G98" i="10"/>
  <c r="G97" i="10"/>
  <c r="G96" i="10"/>
  <c r="K95" i="10"/>
  <c r="K93" i="10" s="1"/>
  <c r="J95" i="10"/>
  <c r="I95" i="10"/>
  <c r="H95" i="10"/>
  <c r="G95" i="10"/>
  <c r="G94" i="10"/>
  <c r="J93" i="10"/>
  <c r="I93" i="10"/>
  <c r="H93" i="10"/>
  <c r="G91" i="10"/>
  <c r="G90" i="10"/>
  <c r="J86" i="10"/>
  <c r="I86" i="10"/>
  <c r="H86" i="10"/>
  <c r="G85" i="10"/>
  <c r="G84" i="10"/>
  <c r="G82" i="10"/>
  <c r="G81" i="10"/>
  <c r="G79" i="10"/>
  <c r="K76" i="10"/>
  <c r="J76" i="10"/>
  <c r="I76" i="10"/>
  <c r="H76" i="10"/>
  <c r="G76" i="10"/>
  <c r="G75" i="10"/>
  <c r="G74" i="10"/>
  <c r="J73" i="10"/>
  <c r="K73" i="10" s="1"/>
  <c r="G72" i="10"/>
  <c r="G71" i="10"/>
  <c r="I70" i="10"/>
  <c r="H70" i="10"/>
  <c r="G69" i="10"/>
  <c r="G68" i="10"/>
  <c r="G66" i="10"/>
  <c r="I64" i="10"/>
  <c r="H64" i="10"/>
  <c r="H62" i="10"/>
  <c r="K60" i="10"/>
  <c r="I60" i="10"/>
  <c r="K57" i="10"/>
  <c r="J57" i="10"/>
  <c r="I57" i="10"/>
  <c r="H57" i="10"/>
  <c r="K54" i="10"/>
  <c r="J54" i="10"/>
  <c r="I54" i="10"/>
  <c r="G54" i="10" s="1"/>
  <c r="H54" i="10"/>
  <c r="G53" i="10"/>
  <c r="K52" i="10"/>
  <c r="J49" i="10"/>
  <c r="I49" i="10"/>
  <c r="H49" i="10"/>
  <c r="K48" i="10"/>
  <c r="G48" i="10"/>
  <c r="G47" i="10"/>
  <c r="K46" i="10"/>
  <c r="G46" i="10" s="1"/>
  <c r="G45" i="10"/>
  <c r="G44" i="10"/>
  <c r="J43" i="10"/>
  <c r="G42" i="10"/>
  <c r="K39" i="10"/>
  <c r="J39" i="10"/>
  <c r="I39" i="10"/>
  <c r="G39" i="10" s="1"/>
  <c r="H39" i="10"/>
  <c r="G38" i="10"/>
  <c r="G37" i="10"/>
  <c r="G36" i="10"/>
  <c r="G35" i="10"/>
  <c r="G34" i="10"/>
  <c r="K33" i="10"/>
  <c r="J33" i="10"/>
  <c r="H33" i="10"/>
  <c r="G32" i="10"/>
  <c r="G31" i="10"/>
  <c r="K30" i="10"/>
  <c r="G30" i="10"/>
  <c r="G29" i="10"/>
  <c r="J28" i="10"/>
  <c r="H43" i="10" s="1"/>
  <c r="G43" i="10" s="1"/>
  <c r="K27" i="10"/>
  <c r="I27" i="10"/>
  <c r="H27" i="10"/>
  <c r="G25" i="10"/>
  <c r="K23" i="10"/>
  <c r="J23" i="10"/>
  <c r="I23" i="10"/>
  <c r="G23" i="10" s="1"/>
  <c r="H23" i="10"/>
  <c r="K20" i="10"/>
  <c r="J20" i="10"/>
  <c r="J15" i="10" s="1"/>
  <c r="I20" i="10"/>
  <c r="H20" i="10"/>
  <c r="G20" i="10" s="1"/>
  <c r="K17" i="10"/>
  <c r="K15" i="10" s="1"/>
  <c r="K50" i="10" s="1"/>
  <c r="J17" i="10"/>
  <c r="I17" i="10"/>
  <c r="H17" i="10"/>
  <c r="G17" i="10"/>
  <c r="G16" i="10"/>
  <c r="I15" i="10"/>
  <c r="D9" i="10"/>
  <c r="G62" i="10" l="1"/>
  <c r="K83" i="10" s="1"/>
  <c r="G93" i="10"/>
  <c r="G49" i="10"/>
  <c r="K67" i="10"/>
  <c r="K70" i="10"/>
  <c r="K89" i="10"/>
  <c r="I33" i="10"/>
  <c r="G33" i="10" s="1"/>
  <c r="K49" i="10"/>
  <c r="I52" i="10"/>
  <c r="I87" i="10" s="1"/>
  <c r="J65" i="10"/>
  <c r="J89" i="10"/>
  <c r="G89" i="10" s="1"/>
  <c r="H100" i="10"/>
  <c r="G121" i="10"/>
  <c r="I126" i="10"/>
  <c r="G126" i="10" s="1"/>
  <c r="H15" i="10"/>
  <c r="J27" i="10"/>
  <c r="G27" i="10" s="1"/>
  <c r="G57" i="10"/>
  <c r="J62" i="10"/>
  <c r="J60" i="10" s="1"/>
  <c r="J52" i="10" s="1"/>
  <c r="J70" i="10"/>
  <c r="G70" i="10" s="1"/>
  <c r="G73" i="10"/>
  <c r="H80" i="10"/>
  <c r="H132" i="10"/>
  <c r="G132" i="10" s="1"/>
  <c r="J142" i="10"/>
  <c r="G142" i="10" s="1"/>
  <c r="K143" i="10"/>
  <c r="K142" i="10" s="1"/>
  <c r="G28" i="10"/>
  <c r="H60" i="10"/>
  <c r="G60" i="10" s="1"/>
  <c r="K86" i="10" l="1"/>
  <c r="G86" i="10" s="1"/>
  <c r="G83" i="10"/>
  <c r="G100" i="10"/>
  <c r="H99" i="10"/>
  <c r="G99" i="10" s="1"/>
  <c r="G143" i="10"/>
  <c r="G15" i="10"/>
  <c r="H50" i="10"/>
  <c r="J80" i="10"/>
  <c r="G80" i="10" s="1"/>
  <c r="G67" i="10"/>
  <c r="K64" i="10"/>
  <c r="K87" i="10" s="1"/>
  <c r="G65" i="10"/>
  <c r="J64" i="10"/>
  <c r="G64" i="10" s="1"/>
  <c r="H52" i="10"/>
  <c r="J50" i="10"/>
  <c r="I50" i="10"/>
  <c r="H87" i="10" l="1"/>
  <c r="G52" i="10"/>
  <c r="G50" i="10"/>
  <c r="J87" i="10"/>
  <c r="G87" i="10" l="1"/>
  <c r="K83" i="9" l="1"/>
  <c r="K85" i="9" l="1"/>
  <c r="J85" i="9"/>
  <c r="G85" i="9" s="1"/>
  <c r="K73" i="9"/>
  <c r="J73" i="9"/>
  <c r="J62" i="9"/>
  <c r="H62" i="9"/>
  <c r="H80" i="9"/>
  <c r="J36" i="9"/>
  <c r="J33" i="9" s="1"/>
  <c r="J25" i="9"/>
  <c r="F151" i="9"/>
  <c r="I148" i="9"/>
  <c r="F148" i="9"/>
  <c r="G146" i="9"/>
  <c r="G145" i="9"/>
  <c r="K144" i="9"/>
  <c r="J144" i="9"/>
  <c r="I144" i="9"/>
  <c r="H144" i="9"/>
  <c r="G144" i="9"/>
  <c r="I142" i="9"/>
  <c r="H142" i="9"/>
  <c r="G141" i="9"/>
  <c r="G140" i="9"/>
  <c r="G139" i="9"/>
  <c r="K138" i="9"/>
  <c r="J138" i="9"/>
  <c r="I138" i="9"/>
  <c r="H138" i="9"/>
  <c r="G138" i="9"/>
  <c r="G137" i="9"/>
  <c r="G136" i="9"/>
  <c r="K135" i="9"/>
  <c r="K133" i="9" s="1"/>
  <c r="K132" i="9" s="1"/>
  <c r="J135" i="9"/>
  <c r="J133" i="9" s="1"/>
  <c r="J132" i="9" s="1"/>
  <c r="I135" i="9"/>
  <c r="H135" i="9"/>
  <c r="G135" i="9" s="1"/>
  <c r="G134" i="9"/>
  <c r="I133" i="9"/>
  <c r="H133" i="9"/>
  <c r="I132" i="9"/>
  <c r="G131" i="9"/>
  <c r="G130" i="9"/>
  <c r="G129" i="9"/>
  <c r="K128" i="9"/>
  <c r="J128" i="9"/>
  <c r="I128" i="9"/>
  <c r="G128" i="9" s="1"/>
  <c r="H128" i="9"/>
  <c r="G127" i="9"/>
  <c r="K126" i="9"/>
  <c r="J126" i="9"/>
  <c r="H126" i="9"/>
  <c r="G124" i="9"/>
  <c r="G123" i="9"/>
  <c r="K122" i="9"/>
  <c r="J122" i="9"/>
  <c r="I122" i="9"/>
  <c r="H122" i="9"/>
  <c r="G122" i="9" s="1"/>
  <c r="I120" i="9"/>
  <c r="H120" i="9"/>
  <c r="G119" i="9"/>
  <c r="G118" i="9"/>
  <c r="G117" i="9"/>
  <c r="K116" i="9"/>
  <c r="J116" i="9"/>
  <c r="I116" i="9"/>
  <c r="H116" i="9"/>
  <c r="G116" i="9" s="1"/>
  <c r="G115" i="9"/>
  <c r="G114" i="9"/>
  <c r="G113" i="9"/>
  <c r="G112" i="9"/>
  <c r="G111" i="9"/>
  <c r="G110" i="9"/>
  <c r="K109" i="9"/>
  <c r="J109" i="9"/>
  <c r="I109" i="9"/>
  <c r="G109" i="9" s="1"/>
  <c r="H109" i="9"/>
  <c r="G108" i="9"/>
  <c r="G107" i="9"/>
  <c r="K106" i="9"/>
  <c r="J106" i="9"/>
  <c r="I106" i="9"/>
  <c r="H106" i="9"/>
  <c r="G106" i="9" s="1"/>
  <c r="G105" i="9"/>
  <c r="G104" i="9"/>
  <c r="K103" i="9"/>
  <c r="K102" i="9" s="1"/>
  <c r="K100" i="9" s="1"/>
  <c r="K99" i="9" s="1"/>
  <c r="J103" i="9"/>
  <c r="I103" i="9"/>
  <c r="I102" i="9" s="1"/>
  <c r="I100" i="9" s="1"/>
  <c r="I99" i="9" s="1"/>
  <c r="H103" i="9"/>
  <c r="G103" i="9"/>
  <c r="J102" i="9"/>
  <c r="H102" i="9"/>
  <c r="G101" i="9"/>
  <c r="J100" i="9"/>
  <c r="J99" i="9" s="1"/>
  <c r="G98" i="9"/>
  <c r="G97" i="9"/>
  <c r="G96" i="9"/>
  <c r="K95" i="9"/>
  <c r="K93" i="9" s="1"/>
  <c r="J95" i="9"/>
  <c r="I95" i="9"/>
  <c r="H95" i="9"/>
  <c r="G95" i="9"/>
  <c r="G94" i="9"/>
  <c r="J93" i="9"/>
  <c r="I93" i="9"/>
  <c r="H93" i="9"/>
  <c r="G91" i="9"/>
  <c r="G90" i="9"/>
  <c r="I86" i="9"/>
  <c r="H86" i="9"/>
  <c r="G84" i="9"/>
  <c r="G82" i="9"/>
  <c r="G81" i="9"/>
  <c r="G79" i="9"/>
  <c r="K76" i="9"/>
  <c r="J76" i="9"/>
  <c r="I76" i="9"/>
  <c r="G76" i="9" s="1"/>
  <c r="H76" i="9"/>
  <c r="G75" i="9"/>
  <c r="G74" i="9"/>
  <c r="K89" i="9"/>
  <c r="G73" i="9"/>
  <c r="G72" i="9"/>
  <c r="G71" i="9"/>
  <c r="K70" i="9"/>
  <c r="I70" i="9"/>
  <c r="H70" i="9"/>
  <c r="G69" i="9"/>
  <c r="G68" i="9"/>
  <c r="G66" i="9"/>
  <c r="I64" i="9"/>
  <c r="H64" i="9"/>
  <c r="K60" i="9"/>
  <c r="J60" i="9"/>
  <c r="I60" i="9"/>
  <c r="I52" i="9" s="1"/>
  <c r="I87" i="9" s="1"/>
  <c r="K57" i="9"/>
  <c r="J57" i="9"/>
  <c r="I57" i="9"/>
  <c r="H57" i="9"/>
  <c r="G57" i="9" s="1"/>
  <c r="K54" i="9"/>
  <c r="K52" i="9" s="1"/>
  <c r="J54" i="9"/>
  <c r="I54" i="9"/>
  <c r="H54" i="9"/>
  <c r="G54" i="9"/>
  <c r="G53" i="9"/>
  <c r="I49" i="9"/>
  <c r="H49" i="9"/>
  <c r="K48" i="9"/>
  <c r="J48" i="9"/>
  <c r="G48" i="9" s="1"/>
  <c r="G47" i="9"/>
  <c r="G45" i="9"/>
  <c r="G44" i="9"/>
  <c r="G42" i="9"/>
  <c r="K39" i="9"/>
  <c r="J39" i="9"/>
  <c r="I39" i="9"/>
  <c r="H39" i="9"/>
  <c r="G39" i="9" s="1"/>
  <c r="G38" i="9"/>
  <c r="G37" i="9"/>
  <c r="G35" i="9"/>
  <c r="G34" i="9"/>
  <c r="I33" i="9"/>
  <c r="H33" i="9"/>
  <c r="G32" i="9"/>
  <c r="G31" i="9"/>
  <c r="G29" i="9"/>
  <c r="I27" i="9"/>
  <c r="H27" i="9"/>
  <c r="J28" i="9"/>
  <c r="G25" i="9"/>
  <c r="K23" i="9"/>
  <c r="J23" i="9"/>
  <c r="I23" i="9"/>
  <c r="H23" i="9"/>
  <c r="K20" i="9"/>
  <c r="K15" i="9" s="1"/>
  <c r="J20" i="9"/>
  <c r="I20" i="9"/>
  <c r="I15" i="9" s="1"/>
  <c r="I50" i="9" s="1"/>
  <c r="H20" i="9"/>
  <c r="K17" i="9"/>
  <c r="J17" i="9"/>
  <c r="J15" i="9" s="1"/>
  <c r="I17" i="9"/>
  <c r="H17" i="9"/>
  <c r="G17" i="9" s="1"/>
  <c r="G16" i="9"/>
  <c r="D9" i="9"/>
  <c r="K85" i="8"/>
  <c r="J85" i="8"/>
  <c r="K83" i="8"/>
  <c r="K73" i="8"/>
  <c r="J73" i="8"/>
  <c r="J62" i="8"/>
  <c r="H62" i="8"/>
  <c r="K48" i="8"/>
  <c r="J48" i="8"/>
  <c r="G48" i="8" s="1"/>
  <c r="K36" i="8"/>
  <c r="K121" i="8" s="1"/>
  <c r="J36" i="8"/>
  <c r="K30" i="8" s="1"/>
  <c r="J25" i="8"/>
  <c r="H25" i="8"/>
  <c r="F151" i="8"/>
  <c r="I148" i="8"/>
  <c r="F148" i="8"/>
  <c r="G146" i="8"/>
  <c r="G145" i="8"/>
  <c r="K144" i="8"/>
  <c r="J144" i="8"/>
  <c r="I144" i="8"/>
  <c r="G144" i="8" s="1"/>
  <c r="H144" i="8"/>
  <c r="H142" i="8"/>
  <c r="G141" i="8"/>
  <c r="G140" i="8"/>
  <c r="G139" i="8"/>
  <c r="K138" i="8"/>
  <c r="J138" i="8"/>
  <c r="I138" i="8"/>
  <c r="G138" i="8" s="1"/>
  <c r="H138" i="8"/>
  <c r="G137" i="8"/>
  <c r="G136" i="8"/>
  <c r="K135" i="8"/>
  <c r="J135" i="8"/>
  <c r="I135" i="8"/>
  <c r="I133" i="8" s="1"/>
  <c r="I132" i="8" s="1"/>
  <c r="H135" i="8"/>
  <c r="G134" i="8"/>
  <c r="K133" i="8"/>
  <c r="J133" i="8"/>
  <c r="J132" i="8" s="1"/>
  <c r="K132" i="8"/>
  <c r="G131" i="8"/>
  <c r="G130" i="8"/>
  <c r="G129" i="8"/>
  <c r="K128" i="8"/>
  <c r="K126" i="8" s="1"/>
  <c r="J128" i="8"/>
  <c r="I128" i="8"/>
  <c r="H128" i="8"/>
  <c r="H126" i="8" s="1"/>
  <c r="G128" i="8"/>
  <c r="G127" i="8"/>
  <c r="J126" i="8"/>
  <c r="I126" i="8"/>
  <c r="G124" i="8"/>
  <c r="G123" i="8"/>
  <c r="K122" i="8"/>
  <c r="J122" i="8"/>
  <c r="I122" i="8"/>
  <c r="H122" i="8"/>
  <c r="G122" i="8" s="1"/>
  <c r="J121" i="8"/>
  <c r="J120" i="8" s="1"/>
  <c r="I120" i="8"/>
  <c r="H120" i="8"/>
  <c r="G119" i="8"/>
  <c r="G118" i="8"/>
  <c r="G117" i="8"/>
  <c r="K116" i="8"/>
  <c r="J116" i="8"/>
  <c r="I116" i="8"/>
  <c r="H116" i="8"/>
  <c r="G116" i="8" s="1"/>
  <c r="G115" i="8"/>
  <c r="G114" i="8"/>
  <c r="G113" i="8"/>
  <c r="G112" i="8"/>
  <c r="G111" i="8"/>
  <c r="G110" i="8"/>
  <c r="K109" i="8"/>
  <c r="K102" i="8" s="1"/>
  <c r="K100" i="8" s="1"/>
  <c r="K99" i="8" s="1"/>
  <c r="J109" i="8"/>
  <c r="I109" i="8"/>
  <c r="H109" i="8"/>
  <c r="H102" i="8" s="1"/>
  <c r="G109" i="8"/>
  <c r="G108" i="8"/>
  <c r="G107" i="8"/>
  <c r="K106" i="8"/>
  <c r="J106" i="8"/>
  <c r="G106" i="8" s="1"/>
  <c r="I106" i="8"/>
  <c r="H106" i="8"/>
  <c r="G105" i="8"/>
  <c r="G104" i="8"/>
  <c r="K103" i="8"/>
  <c r="J103" i="8"/>
  <c r="I103" i="8"/>
  <c r="H103" i="8"/>
  <c r="J102" i="8"/>
  <c r="J100" i="8" s="1"/>
  <c r="J99" i="8" s="1"/>
  <c r="G101" i="8"/>
  <c r="H100" i="8"/>
  <c r="G98" i="8"/>
  <c r="G97" i="8"/>
  <c r="G96" i="8"/>
  <c r="K95" i="8"/>
  <c r="J95" i="8"/>
  <c r="J93" i="8" s="1"/>
  <c r="I95" i="8"/>
  <c r="H95" i="8"/>
  <c r="G94" i="8"/>
  <c r="K93" i="8"/>
  <c r="H93" i="8"/>
  <c r="G91" i="8"/>
  <c r="G90" i="8"/>
  <c r="J89" i="8"/>
  <c r="J86" i="8"/>
  <c r="I86" i="8"/>
  <c r="H86" i="8"/>
  <c r="G85" i="8"/>
  <c r="G84" i="8"/>
  <c r="G82" i="8"/>
  <c r="G81" i="8"/>
  <c r="G79" i="8"/>
  <c r="K76" i="8"/>
  <c r="J76" i="8"/>
  <c r="I76" i="8"/>
  <c r="G76" i="8" s="1"/>
  <c r="H76" i="8"/>
  <c r="G75" i="8"/>
  <c r="G74" i="8"/>
  <c r="G72" i="8"/>
  <c r="G71" i="8"/>
  <c r="J70" i="8"/>
  <c r="I70" i="8"/>
  <c r="H70" i="8"/>
  <c r="G69" i="8"/>
  <c r="G68" i="8"/>
  <c r="G66" i="8"/>
  <c r="I64" i="8"/>
  <c r="H64" i="8"/>
  <c r="K60" i="8"/>
  <c r="I60" i="8"/>
  <c r="I52" i="8" s="1"/>
  <c r="I87" i="8" s="1"/>
  <c r="K57" i="8"/>
  <c r="J57" i="8"/>
  <c r="I57" i="8"/>
  <c r="H57" i="8"/>
  <c r="K54" i="8"/>
  <c r="K52" i="8" s="1"/>
  <c r="J54" i="8"/>
  <c r="I54" i="8"/>
  <c r="H54" i="8"/>
  <c r="G54" i="8"/>
  <c r="G53" i="8"/>
  <c r="J49" i="8"/>
  <c r="I49" i="8"/>
  <c r="H49" i="8"/>
  <c r="G47" i="8"/>
  <c r="G45" i="8"/>
  <c r="G44" i="8"/>
  <c r="G42" i="8"/>
  <c r="K39" i="8"/>
  <c r="K33" i="8" s="1"/>
  <c r="J39" i="8"/>
  <c r="I39" i="8"/>
  <c r="I33" i="8" s="1"/>
  <c r="H39" i="8"/>
  <c r="H33" i="8" s="1"/>
  <c r="G39" i="8"/>
  <c r="G38" i="8"/>
  <c r="G37" i="8"/>
  <c r="G36" i="8"/>
  <c r="G35" i="8"/>
  <c r="G34" i="8"/>
  <c r="G32" i="8"/>
  <c r="G31" i="8"/>
  <c r="G29" i="8"/>
  <c r="J28" i="8"/>
  <c r="H43" i="8" s="1"/>
  <c r="G28" i="8"/>
  <c r="J27" i="8"/>
  <c r="I27" i="8"/>
  <c r="H27" i="8"/>
  <c r="G25" i="8"/>
  <c r="K23" i="8"/>
  <c r="J23" i="8"/>
  <c r="I23" i="8"/>
  <c r="H23" i="8"/>
  <c r="G23" i="8" s="1"/>
  <c r="K20" i="8"/>
  <c r="J20" i="8"/>
  <c r="I20" i="8"/>
  <c r="G20" i="8" s="1"/>
  <c r="H20" i="8"/>
  <c r="K17" i="8"/>
  <c r="K15" i="8" s="1"/>
  <c r="J17" i="8"/>
  <c r="J15" i="8" s="1"/>
  <c r="I17" i="8"/>
  <c r="H17" i="8"/>
  <c r="G16" i="8"/>
  <c r="I15" i="8"/>
  <c r="D9" i="8"/>
  <c r="K73" i="4"/>
  <c r="J73" i="4"/>
  <c r="J70" i="4" s="1"/>
  <c r="J62" i="4"/>
  <c r="G62" i="4" s="1"/>
  <c r="H62" i="4"/>
  <c r="K48" i="4"/>
  <c r="J48" i="4"/>
  <c r="J49" i="4" s="1"/>
  <c r="K36" i="4"/>
  <c r="J36" i="4"/>
  <c r="J121" i="4" s="1"/>
  <c r="J25" i="4"/>
  <c r="K30" i="4" s="1"/>
  <c r="H25" i="4"/>
  <c r="F151" i="4"/>
  <c r="I148" i="4"/>
  <c r="F148" i="4"/>
  <c r="G146" i="4"/>
  <c r="G145" i="4"/>
  <c r="K144" i="4"/>
  <c r="J144" i="4"/>
  <c r="I144" i="4"/>
  <c r="H144" i="4"/>
  <c r="G144" i="4"/>
  <c r="I142" i="4"/>
  <c r="H142" i="4"/>
  <c r="G141" i="4"/>
  <c r="G140" i="4"/>
  <c r="G139" i="4"/>
  <c r="K138" i="4"/>
  <c r="J138" i="4"/>
  <c r="I138" i="4"/>
  <c r="H138" i="4"/>
  <c r="G138" i="4"/>
  <c r="G137" i="4"/>
  <c r="G136" i="4"/>
  <c r="K135" i="4"/>
  <c r="K133" i="4" s="1"/>
  <c r="K132" i="4" s="1"/>
  <c r="J135" i="4"/>
  <c r="J133" i="4" s="1"/>
  <c r="J132" i="4" s="1"/>
  <c r="I135" i="4"/>
  <c r="H135" i="4"/>
  <c r="G134" i="4"/>
  <c r="I133" i="4"/>
  <c r="H133" i="4"/>
  <c r="G133" i="4" s="1"/>
  <c r="I132" i="4"/>
  <c r="G131" i="4"/>
  <c r="G130" i="4"/>
  <c r="G129" i="4"/>
  <c r="K128" i="4"/>
  <c r="J128" i="4"/>
  <c r="J126" i="4" s="1"/>
  <c r="I128" i="4"/>
  <c r="G128" i="4" s="1"/>
  <c r="H128" i="4"/>
  <c r="G127" i="4"/>
  <c r="K126" i="4"/>
  <c r="H126" i="4"/>
  <c r="G124" i="4"/>
  <c r="G123" i="4"/>
  <c r="K122" i="4"/>
  <c r="J122" i="4"/>
  <c r="G122" i="4" s="1"/>
  <c r="I122" i="4"/>
  <c r="H122" i="4"/>
  <c r="I120" i="4"/>
  <c r="H120" i="4"/>
  <c r="G119" i="4"/>
  <c r="G118" i="4"/>
  <c r="G117" i="4"/>
  <c r="K116" i="4"/>
  <c r="J116" i="4"/>
  <c r="G116" i="4" s="1"/>
  <c r="I116" i="4"/>
  <c r="H116" i="4"/>
  <c r="G115" i="4"/>
  <c r="G114" i="4"/>
  <c r="G113" i="4"/>
  <c r="G112" i="4"/>
  <c r="G111" i="4"/>
  <c r="G110" i="4"/>
  <c r="K109" i="4"/>
  <c r="J109" i="4"/>
  <c r="J102" i="4" s="1"/>
  <c r="J100" i="4" s="1"/>
  <c r="J99" i="4" s="1"/>
  <c r="I109" i="4"/>
  <c r="G109" i="4" s="1"/>
  <c r="H109" i="4"/>
  <c r="G108" i="4"/>
  <c r="G107" i="4"/>
  <c r="K106" i="4"/>
  <c r="J106" i="4"/>
  <c r="I106" i="4"/>
  <c r="H106" i="4"/>
  <c r="G106" i="4" s="1"/>
  <c r="G105" i="4"/>
  <c r="G104" i="4"/>
  <c r="K103" i="4"/>
  <c r="K102" i="4" s="1"/>
  <c r="K100" i="4" s="1"/>
  <c r="K99" i="4" s="1"/>
  <c r="J103" i="4"/>
  <c r="I103" i="4"/>
  <c r="H103" i="4"/>
  <c r="G103" i="4"/>
  <c r="H102" i="4"/>
  <c r="G101" i="4"/>
  <c r="G98" i="4"/>
  <c r="G97" i="4"/>
  <c r="G96" i="4"/>
  <c r="K95" i="4"/>
  <c r="K93" i="4" s="1"/>
  <c r="J95" i="4"/>
  <c r="I95" i="4"/>
  <c r="H95" i="4"/>
  <c r="H93" i="4" s="1"/>
  <c r="G95" i="4"/>
  <c r="G94" i="4"/>
  <c r="J93" i="4"/>
  <c r="I93" i="4"/>
  <c r="G91" i="4"/>
  <c r="G90" i="4"/>
  <c r="K86" i="4"/>
  <c r="J86" i="4"/>
  <c r="I86" i="4"/>
  <c r="H86" i="4"/>
  <c r="G86" i="4" s="1"/>
  <c r="G85" i="4"/>
  <c r="G84" i="4"/>
  <c r="G83" i="4"/>
  <c r="G82" i="4"/>
  <c r="G81" i="4"/>
  <c r="H80" i="4"/>
  <c r="G79" i="4"/>
  <c r="K76" i="4"/>
  <c r="J76" i="4"/>
  <c r="G76" i="4" s="1"/>
  <c r="I76" i="4"/>
  <c r="H76" i="4"/>
  <c r="G75" i="4"/>
  <c r="G74" i="4"/>
  <c r="J89" i="4"/>
  <c r="G72" i="4"/>
  <c r="G71" i="4"/>
  <c r="I70" i="4"/>
  <c r="H70" i="4"/>
  <c r="G69" i="4"/>
  <c r="G68" i="4"/>
  <c r="G66" i="4"/>
  <c r="I64" i="4"/>
  <c r="H64" i="4"/>
  <c r="J65" i="4"/>
  <c r="G65" i="4" s="1"/>
  <c r="K60" i="4"/>
  <c r="I60" i="4"/>
  <c r="H60" i="4"/>
  <c r="K57" i="4"/>
  <c r="K52" i="4" s="1"/>
  <c r="J57" i="4"/>
  <c r="I57" i="4"/>
  <c r="H57" i="4"/>
  <c r="G57" i="4"/>
  <c r="K54" i="4"/>
  <c r="J54" i="4"/>
  <c r="I54" i="4"/>
  <c r="I52" i="4" s="1"/>
  <c r="I87" i="4" s="1"/>
  <c r="H54" i="4"/>
  <c r="G53" i="4"/>
  <c r="I49" i="4"/>
  <c r="H49" i="4"/>
  <c r="G48" i="4"/>
  <c r="G47" i="4"/>
  <c r="G45" i="4"/>
  <c r="G44" i="4"/>
  <c r="G42" i="4"/>
  <c r="K39" i="4"/>
  <c r="J39" i="4"/>
  <c r="I39" i="4"/>
  <c r="H39" i="4"/>
  <c r="H33" i="4" s="1"/>
  <c r="G39" i="4"/>
  <c r="G38" i="4"/>
  <c r="G37" i="4"/>
  <c r="G35" i="4"/>
  <c r="G34" i="4"/>
  <c r="J33" i="4"/>
  <c r="I33" i="4"/>
  <c r="G32" i="4"/>
  <c r="G31" i="4"/>
  <c r="G29" i="4"/>
  <c r="J28" i="4"/>
  <c r="I27" i="4"/>
  <c r="H27" i="4"/>
  <c r="G25" i="4"/>
  <c r="K23" i="4"/>
  <c r="K15" i="4" s="1"/>
  <c r="I23" i="4"/>
  <c r="H23" i="4"/>
  <c r="K20" i="4"/>
  <c r="J20" i="4"/>
  <c r="I20" i="4"/>
  <c r="H20" i="4"/>
  <c r="K17" i="4"/>
  <c r="J17" i="4"/>
  <c r="I17" i="4"/>
  <c r="H17" i="4"/>
  <c r="G16" i="4"/>
  <c r="D9" i="4"/>
  <c r="F151" i="1"/>
  <c r="I148" i="1"/>
  <c r="F148" i="1"/>
  <c r="G146" i="1"/>
  <c r="G145" i="1"/>
  <c r="K144" i="1"/>
  <c r="J144" i="1"/>
  <c r="I144" i="1"/>
  <c r="H144" i="1"/>
  <c r="G144" i="1"/>
  <c r="J143" i="1"/>
  <c r="J142" i="1" s="1"/>
  <c r="I142" i="1"/>
  <c r="H142" i="1"/>
  <c r="G141" i="1"/>
  <c r="G140" i="1"/>
  <c r="G139" i="1"/>
  <c r="K138" i="1"/>
  <c r="J138" i="1"/>
  <c r="I138" i="1"/>
  <c r="H138" i="1"/>
  <c r="G138" i="1"/>
  <c r="G137" i="1"/>
  <c r="G136" i="1"/>
  <c r="K135" i="1"/>
  <c r="K133" i="1" s="1"/>
  <c r="K132" i="1" s="1"/>
  <c r="J135" i="1"/>
  <c r="I135" i="1"/>
  <c r="H135" i="1"/>
  <c r="G134" i="1"/>
  <c r="I133" i="1"/>
  <c r="H133" i="1"/>
  <c r="I132" i="1"/>
  <c r="G131" i="1"/>
  <c r="G130" i="1"/>
  <c r="G129" i="1"/>
  <c r="K128" i="1"/>
  <c r="J128" i="1"/>
  <c r="J126" i="1" s="1"/>
  <c r="I128" i="1"/>
  <c r="H128" i="1"/>
  <c r="G127" i="1"/>
  <c r="K126" i="1"/>
  <c r="H126" i="1"/>
  <c r="G124" i="1"/>
  <c r="G123" i="1"/>
  <c r="K122" i="1"/>
  <c r="J122" i="1"/>
  <c r="G122" i="1" s="1"/>
  <c r="I122" i="1"/>
  <c r="H122" i="1"/>
  <c r="K121" i="1"/>
  <c r="J121" i="1"/>
  <c r="J120" i="1"/>
  <c r="I120" i="1"/>
  <c r="H120" i="1"/>
  <c r="G119" i="1"/>
  <c r="G118" i="1"/>
  <c r="G117" i="1"/>
  <c r="K116" i="1"/>
  <c r="J116" i="1"/>
  <c r="G116" i="1" s="1"/>
  <c r="I116" i="1"/>
  <c r="H116" i="1"/>
  <c r="G115" i="1"/>
  <c r="G114" i="1"/>
  <c r="G113" i="1"/>
  <c r="G112" i="1"/>
  <c r="G111" i="1"/>
  <c r="G110" i="1"/>
  <c r="K109" i="1"/>
  <c r="J109" i="1"/>
  <c r="J102" i="1" s="1"/>
  <c r="J100" i="1" s="1"/>
  <c r="J99" i="1" s="1"/>
  <c r="I109" i="1"/>
  <c r="H109" i="1"/>
  <c r="G108" i="1"/>
  <c r="G107" i="1"/>
  <c r="K106" i="1"/>
  <c r="J106" i="1"/>
  <c r="I106" i="1"/>
  <c r="H106" i="1"/>
  <c r="G106" i="1" s="1"/>
  <c r="G105" i="1"/>
  <c r="G104" i="1"/>
  <c r="K103" i="1"/>
  <c r="K102" i="1" s="1"/>
  <c r="K100" i="1" s="1"/>
  <c r="J103" i="1"/>
  <c r="I103" i="1"/>
  <c r="H103" i="1"/>
  <c r="G103" i="1"/>
  <c r="H102" i="1"/>
  <c r="G101" i="1"/>
  <c r="K99" i="1"/>
  <c r="G98" i="1"/>
  <c r="G97" i="1"/>
  <c r="G96" i="1"/>
  <c r="K95" i="1"/>
  <c r="K93" i="1" s="1"/>
  <c r="J95" i="1"/>
  <c r="I95" i="1"/>
  <c r="H95" i="1"/>
  <c r="H93" i="1" s="1"/>
  <c r="G95" i="1"/>
  <c r="G94" i="1"/>
  <c r="J93" i="1"/>
  <c r="I93" i="1"/>
  <c r="G91" i="1"/>
  <c r="G90" i="1"/>
  <c r="I86" i="1"/>
  <c r="H86" i="1"/>
  <c r="K85" i="1"/>
  <c r="G85" i="1"/>
  <c r="G84" i="1"/>
  <c r="J83" i="1"/>
  <c r="K83" i="1" s="1"/>
  <c r="G82" i="1"/>
  <c r="G81" i="1"/>
  <c r="G79" i="1"/>
  <c r="K76" i="1"/>
  <c r="J76" i="1"/>
  <c r="I76" i="1"/>
  <c r="G76" i="1" s="1"/>
  <c r="H76" i="1"/>
  <c r="G75" i="1"/>
  <c r="G74" i="1"/>
  <c r="J73" i="1"/>
  <c r="K73" i="1" s="1"/>
  <c r="G72" i="1"/>
  <c r="G71" i="1"/>
  <c r="J70" i="1"/>
  <c r="I70" i="1"/>
  <c r="H70" i="1"/>
  <c r="G69" i="1"/>
  <c r="G68" i="1"/>
  <c r="G66" i="1"/>
  <c r="I64" i="1"/>
  <c r="H64" i="1"/>
  <c r="H62" i="1"/>
  <c r="K60" i="1"/>
  <c r="I60" i="1"/>
  <c r="I52" i="1" s="1"/>
  <c r="I87" i="1" s="1"/>
  <c r="K57" i="1"/>
  <c r="J57" i="1"/>
  <c r="I57" i="1"/>
  <c r="H57" i="1"/>
  <c r="K54" i="1"/>
  <c r="K52" i="1" s="1"/>
  <c r="J54" i="1"/>
  <c r="I54" i="1"/>
  <c r="H54" i="1"/>
  <c r="G54" i="1"/>
  <c r="G53" i="1"/>
  <c r="K49" i="1"/>
  <c r="I49" i="1"/>
  <c r="H49" i="1"/>
  <c r="K48" i="1"/>
  <c r="G48" i="1"/>
  <c r="G47" i="1"/>
  <c r="K46" i="1"/>
  <c r="G46" i="1" s="1"/>
  <c r="J46" i="1"/>
  <c r="J49" i="1" s="1"/>
  <c r="G49" i="1" s="1"/>
  <c r="G45" i="1"/>
  <c r="G44" i="1"/>
  <c r="H43" i="1"/>
  <c r="G42" i="1"/>
  <c r="K39" i="1"/>
  <c r="J39" i="1"/>
  <c r="I39" i="1"/>
  <c r="I33" i="1" s="1"/>
  <c r="H39" i="1"/>
  <c r="G38" i="1"/>
  <c r="G37" i="1"/>
  <c r="G36" i="1"/>
  <c r="G35" i="1"/>
  <c r="G34" i="1"/>
  <c r="K33" i="1"/>
  <c r="J33" i="1"/>
  <c r="G32" i="1"/>
  <c r="G31" i="1"/>
  <c r="K30" i="1"/>
  <c r="J43" i="1" s="1"/>
  <c r="G43" i="1" s="1"/>
  <c r="G30" i="1"/>
  <c r="G29" i="1"/>
  <c r="J28" i="1"/>
  <c r="G28" i="1"/>
  <c r="K27" i="1"/>
  <c r="J27" i="1"/>
  <c r="G27" i="1" s="1"/>
  <c r="I27" i="1"/>
  <c r="H27" i="1"/>
  <c r="G25" i="1"/>
  <c r="K23" i="1"/>
  <c r="J23" i="1"/>
  <c r="I23" i="1"/>
  <c r="H23" i="1"/>
  <c r="G23" i="1" s="1"/>
  <c r="K20" i="1"/>
  <c r="J20" i="1"/>
  <c r="I20" i="1"/>
  <c r="G20" i="1" s="1"/>
  <c r="H20" i="1"/>
  <c r="K17" i="1"/>
  <c r="K15" i="1" s="1"/>
  <c r="J17" i="1"/>
  <c r="J15" i="1" s="1"/>
  <c r="J50" i="1" s="1"/>
  <c r="I17" i="1"/>
  <c r="H17" i="1"/>
  <c r="G16" i="1"/>
  <c r="I15" i="1"/>
  <c r="I50" i="1" s="1"/>
  <c r="H15" i="1"/>
  <c r="D9" i="1"/>
  <c r="K36" i="9" l="1"/>
  <c r="K121" i="9"/>
  <c r="K120" i="9" s="1"/>
  <c r="K36" i="17"/>
  <c r="K33" i="4"/>
  <c r="G33" i="4" s="1"/>
  <c r="K121" i="4"/>
  <c r="K143" i="4" s="1"/>
  <c r="K142" i="4" s="1"/>
  <c r="J86" i="9"/>
  <c r="J52" i="9"/>
  <c r="K30" i="9"/>
  <c r="J43" i="9" s="1"/>
  <c r="J121" i="9"/>
  <c r="J143" i="9" s="1"/>
  <c r="G23" i="9"/>
  <c r="H15" i="9"/>
  <c r="G15" i="9" s="1"/>
  <c r="J120" i="9"/>
  <c r="K143" i="9"/>
  <c r="G70" i="9"/>
  <c r="G93" i="9"/>
  <c r="G28" i="9"/>
  <c r="H43" i="9"/>
  <c r="G43" i="9" s="1"/>
  <c r="J27" i="9"/>
  <c r="J50" i="9" s="1"/>
  <c r="G102" i="9"/>
  <c r="G133" i="9"/>
  <c r="J65" i="9"/>
  <c r="G20" i="9"/>
  <c r="G36" i="9"/>
  <c r="K46" i="9" s="1"/>
  <c r="J89" i="9"/>
  <c r="G89" i="9" s="1"/>
  <c r="H100" i="9"/>
  <c r="I126" i="9"/>
  <c r="G126" i="9" s="1"/>
  <c r="G30" i="9"/>
  <c r="K33" i="9"/>
  <c r="G33" i="9" s="1"/>
  <c r="J49" i="9"/>
  <c r="H60" i="9"/>
  <c r="G60" i="9" s="1"/>
  <c r="G62" i="9"/>
  <c r="H132" i="9"/>
  <c r="G132" i="9" s="1"/>
  <c r="J70" i="9"/>
  <c r="J43" i="8"/>
  <c r="G30" i="8"/>
  <c r="K27" i="8"/>
  <c r="J143" i="8"/>
  <c r="J142" i="8" s="1"/>
  <c r="K46" i="8"/>
  <c r="K50" i="8" s="1"/>
  <c r="J33" i="8"/>
  <c r="J50" i="8" s="1"/>
  <c r="H15" i="8"/>
  <c r="G46" i="8"/>
  <c r="K49" i="8"/>
  <c r="G49" i="8" s="1"/>
  <c r="G15" i="8"/>
  <c r="H50" i="8"/>
  <c r="G57" i="8"/>
  <c r="H60" i="8"/>
  <c r="H80" i="8"/>
  <c r="J60" i="8"/>
  <c r="J52" i="8" s="1"/>
  <c r="K70" i="8"/>
  <c r="G70" i="8" s="1"/>
  <c r="K89" i="8"/>
  <c r="G73" i="8"/>
  <c r="G100" i="8"/>
  <c r="H99" i="8"/>
  <c r="G99" i="8" s="1"/>
  <c r="I102" i="8"/>
  <c r="I100" i="8" s="1"/>
  <c r="I99" i="8" s="1"/>
  <c r="G103" i="8"/>
  <c r="G102" i="8"/>
  <c r="I50" i="8"/>
  <c r="G27" i="8"/>
  <c r="G89" i="8"/>
  <c r="G95" i="8"/>
  <c r="I93" i="8"/>
  <c r="G93" i="8" s="1"/>
  <c r="I142" i="8"/>
  <c r="H52" i="8"/>
  <c r="G17" i="8"/>
  <c r="G43" i="8"/>
  <c r="K120" i="8"/>
  <c r="G120" i="8" s="1"/>
  <c r="K143" i="8"/>
  <c r="K142" i="8" s="1"/>
  <c r="J65" i="8"/>
  <c r="G121" i="8"/>
  <c r="G126" i="8"/>
  <c r="G135" i="8"/>
  <c r="H133" i="8"/>
  <c r="J60" i="4"/>
  <c r="G60" i="4" s="1"/>
  <c r="J120" i="4"/>
  <c r="J143" i="4"/>
  <c r="J142" i="4" s="1"/>
  <c r="G36" i="4"/>
  <c r="K46" i="4" s="1"/>
  <c r="J43" i="4"/>
  <c r="K27" i="4"/>
  <c r="G27" i="4" s="1"/>
  <c r="G30" i="4"/>
  <c r="J23" i="4"/>
  <c r="G23" i="4" s="1"/>
  <c r="G20" i="4"/>
  <c r="H15" i="4"/>
  <c r="G17" i="4"/>
  <c r="I15" i="4"/>
  <c r="I50" i="4" s="1"/>
  <c r="H43" i="4"/>
  <c r="G28" i="4"/>
  <c r="J27" i="4"/>
  <c r="G54" i="4"/>
  <c r="H52" i="4"/>
  <c r="J64" i="4"/>
  <c r="G93" i="4"/>
  <c r="G143" i="4"/>
  <c r="G102" i="4"/>
  <c r="I102" i="4"/>
  <c r="I100" i="4" s="1"/>
  <c r="I99" i="4" s="1"/>
  <c r="G135" i="4"/>
  <c r="H100" i="4"/>
  <c r="G121" i="4"/>
  <c r="I126" i="4"/>
  <c r="G126" i="4" s="1"/>
  <c r="H132" i="4"/>
  <c r="G132" i="4" s="1"/>
  <c r="G15" i="1"/>
  <c r="G57" i="1"/>
  <c r="G62" i="1"/>
  <c r="H60" i="1"/>
  <c r="H80" i="1"/>
  <c r="J62" i="1"/>
  <c r="J60" i="1" s="1"/>
  <c r="J52" i="1" s="1"/>
  <c r="G70" i="1"/>
  <c r="K89" i="1"/>
  <c r="K67" i="1"/>
  <c r="K70" i="1"/>
  <c r="G73" i="1"/>
  <c r="H100" i="1"/>
  <c r="G39" i="1"/>
  <c r="H33" i="1"/>
  <c r="G33" i="1" s="1"/>
  <c r="G93" i="1"/>
  <c r="G120" i="1"/>
  <c r="H52" i="1"/>
  <c r="H132" i="1"/>
  <c r="G17" i="1"/>
  <c r="K50" i="1"/>
  <c r="J65" i="1"/>
  <c r="K86" i="1"/>
  <c r="G83" i="1"/>
  <c r="G86" i="1"/>
  <c r="G109" i="1"/>
  <c r="I102" i="1"/>
  <c r="I100" i="1" s="1"/>
  <c r="I99" i="1" s="1"/>
  <c r="K143" i="1"/>
  <c r="G121" i="1"/>
  <c r="K120" i="1"/>
  <c r="G128" i="1"/>
  <c r="I126" i="1"/>
  <c r="G126" i="1" s="1"/>
  <c r="J133" i="1"/>
  <c r="J132" i="1" s="1"/>
  <c r="G135" i="1"/>
  <c r="J86" i="1"/>
  <c r="J89" i="1"/>
  <c r="G89" i="1" s="1"/>
  <c r="G120" i="9" l="1"/>
  <c r="G36" i="17"/>
  <c r="K46" i="17" s="1"/>
  <c r="K121" i="17"/>
  <c r="K33" i="17"/>
  <c r="K120" i="4"/>
  <c r="G120" i="4" s="1"/>
  <c r="K142" i="9"/>
  <c r="K143" i="17"/>
  <c r="K27" i="9"/>
  <c r="K50" i="9" s="1"/>
  <c r="G121" i="9"/>
  <c r="H50" i="9"/>
  <c r="K49" i="9"/>
  <c r="G49" i="9" s="1"/>
  <c r="G46" i="9"/>
  <c r="G100" i="9"/>
  <c r="H99" i="9"/>
  <c r="G99" i="9" s="1"/>
  <c r="G83" i="9"/>
  <c r="K86" i="9"/>
  <c r="G86" i="9" s="1"/>
  <c r="K67" i="9"/>
  <c r="J64" i="9"/>
  <c r="G65" i="9"/>
  <c r="G50" i="9"/>
  <c r="H52" i="9"/>
  <c r="G143" i="9"/>
  <c r="J142" i="9"/>
  <c r="G60" i="8"/>
  <c r="G62" i="8"/>
  <c r="G33" i="8"/>
  <c r="G65" i="8"/>
  <c r="J64" i="8"/>
  <c r="H87" i="8"/>
  <c r="G52" i="8"/>
  <c r="G142" i="8"/>
  <c r="G50" i="8"/>
  <c r="G143" i="8"/>
  <c r="G133" i="8"/>
  <c r="H132" i="8"/>
  <c r="G132" i="8" s="1"/>
  <c r="J52" i="4"/>
  <c r="K49" i="4"/>
  <c r="G49" i="4" s="1"/>
  <c r="G46" i="4"/>
  <c r="K50" i="4"/>
  <c r="G142" i="4"/>
  <c r="J15" i="4"/>
  <c r="J50" i="4" s="1"/>
  <c r="G43" i="4"/>
  <c r="H87" i="4"/>
  <c r="G52" i="4"/>
  <c r="G100" i="4"/>
  <c r="H99" i="4"/>
  <c r="G99" i="4" s="1"/>
  <c r="K89" i="4"/>
  <c r="G89" i="4" s="1"/>
  <c r="K67" i="4"/>
  <c r="K70" i="4"/>
  <c r="G70" i="4" s="1"/>
  <c r="G73" i="4"/>
  <c r="H50" i="4"/>
  <c r="G143" i="1"/>
  <c r="K142" i="1"/>
  <c r="G142" i="1" s="1"/>
  <c r="G52" i="1"/>
  <c r="H87" i="1"/>
  <c r="G132" i="1"/>
  <c r="G100" i="1"/>
  <c r="H99" i="1"/>
  <c r="G99" i="1" s="1"/>
  <c r="J80" i="1"/>
  <c r="G80" i="1" s="1"/>
  <c r="G67" i="1"/>
  <c r="K64" i="1"/>
  <c r="K87" i="1" s="1"/>
  <c r="G65" i="1"/>
  <c r="J64" i="1"/>
  <c r="G64" i="1" s="1"/>
  <c r="G133" i="1"/>
  <c r="G102" i="1"/>
  <c r="G60" i="1"/>
  <c r="H50" i="1"/>
  <c r="G50" i="1" s="1"/>
  <c r="G33" i="17" l="1"/>
  <c r="K50" i="17"/>
  <c r="G50" i="17" s="1"/>
  <c r="G142" i="9"/>
  <c r="K142" i="17"/>
  <c r="G142" i="17" s="1"/>
  <c r="G143" i="17"/>
  <c r="K120" i="17"/>
  <c r="G120" i="17" s="1"/>
  <c r="G121" i="17"/>
  <c r="G46" i="17"/>
  <c r="K49" i="17"/>
  <c r="G49" i="17" s="1"/>
  <c r="G27" i="9"/>
  <c r="H87" i="9"/>
  <c r="G52" i="9"/>
  <c r="J80" i="9"/>
  <c r="G80" i="9" s="1"/>
  <c r="G67" i="9"/>
  <c r="K64" i="9"/>
  <c r="K87" i="9" s="1"/>
  <c r="K86" i="8"/>
  <c r="G86" i="8" s="1"/>
  <c r="G83" i="8"/>
  <c r="K67" i="8"/>
  <c r="G15" i="4"/>
  <c r="G50" i="4"/>
  <c r="J80" i="4"/>
  <c r="G67" i="4"/>
  <c r="K64" i="4"/>
  <c r="J87" i="1"/>
  <c r="G87" i="1" s="1"/>
  <c r="G64" i="9" l="1"/>
  <c r="J87" i="9"/>
  <c r="G87" i="9" s="1"/>
  <c r="J80" i="8"/>
  <c r="G67" i="8"/>
  <c r="K64" i="8"/>
  <c r="G80" i="4"/>
  <c r="J87" i="4"/>
  <c r="G87" i="4" s="1"/>
  <c r="K87" i="4"/>
  <c r="G64" i="4"/>
  <c r="F151" i="3"/>
  <c r="I148" i="3"/>
  <c r="F148" i="3"/>
  <c r="G146" i="3"/>
  <c r="G145" i="3"/>
  <c r="K144" i="3"/>
  <c r="J144" i="3"/>
  <c r="I144" i="3"/>
  <c r="H144" i="3"/>
  <c r="G144" i="3" s="1"/>
  <c r="K143" i="3"/>
  <c r="K142" i="3" s="1"/>
  <c r="J143" i="3"/>
  <c r="G143" i="3" s="1"/>
  <c r="I142" i="3"/>
  <c r="H142" i="3"/>
  <c r="G141" i="3"/>
  <c r="G140" i="3"/>
  <c r="G139" i="3"/>
  <c r="K138" i="3"/>
  <c r="J138" i="3"/>
  <c r="I138" i="3"/>
  <c r="H138" i="3"/>
  <c r="G138" i="3" s="1"/>
  <c r="G137" i="3"/>
  <c r="G136" i="3"/>
  <c r="K135" i="3"/>
  <c r="J135" i="3"/>
  <c r="I135" i="3"/>
  <c r="I133" i="3" s="1"/>
  <c r="I132" i="3" s="1"/>
  <c r="H135" i="3"/>
  <c r="G135" i="3" s="1"/>
  <c r="G134" i="3"/>
  <c r="K133" i="3"/>
  <c r="J133" i="3"/>
  <c r="J132" i="3" s="1"/>
  <c r="K132" i="3"/>
  <c r="G131" i="3"/>
  <c r="G130" i="3"/>
  <c r="G129" i="3"/>
  <c r="K128" i="3"/>
  <c r="K126" i="3" s="1"/>
  <c r="J128" i="3"/>
  <c r="I128" i="3"/>
  <c r="H128" i="3"/>
  <c r="H126" i="3" s="1"/>
  <c r="G128" i="3"/>
  <c r="G127" i="3"/>
  <c r="J126" i="3"/>
  <c r="I126" i="3"/>
  <c r="G124" i="3"/>
  <c r="G123" i="3"/>
  <c r="K122" i="3"/>
  <c r="J122" i="3"/>
  <c r="I122" i="3"/>
  <c r="H122" i="3"/>
  <c r="G122" i="3" s="1"/>
  <c r="K121" i="3"/>
  <c r="J121" i="3"/>
  <c r="J120" i="3" s="1"/>
  <c r="G121" i="3"/>
  <c r="K120" i="3"/>
  <c r="I120" i="3"/>
  <c r="G119" i="3"/>
  <c r="G118" i="3"/>
  <c r="G117" i="3"/>
  <c r="K116" i="3"/>
  <c r="J116" i="3"/>
  <c r="I116" i="3"/>
  <c r="H116" i="3"/>
  <c r="G116" i="3" s="1"/>
  <c r="G115" i="3"/>
  <c r="G114" i="3"/>
  <c r="G113" i="3"/>
  <c r="G112" i="3"/>
  <c r="G111" i="3"/>
  <c r="G110" i="3"/>
  <c r="K109" i="3"/>
  <c r="K102" i="3" s="1"/>
  <c r="K100" i="3" s="1"/>
  <c r="K99" i="3" s="1"/>
  <c r="J109" i="3"/>
  <c r="I109" i="3"/>
  <c r="H109" i="3"/>
  <c r="G109" i="3"/>
  <c r="G108" i="3"/>
  <c r="G107" i="3"/>
  <c r="K106" i="3"/>
  <c r="J106" i="3"/>
  <c r="G106" i="3" s="1"/>
  <c r="I106" i="3"/>
  <c r="H106" i="3"/>
  <c r="G105" i="3"/>
  <c r="G104" i="3"/>
  <c r="K103" i="3"/>
  <c r="J103" i="3"/>
  <c r="I103" i="3"/>
  <c r="I102" i="3" s="1"/>
  <c r="I100" i="3" s="1"/>
  <c r="I99" i="3" s="1"/>
  <c r="H103" i="3"/>
  <c r="G103" i="3" s="1"/>
  <c r="J102" i="3"/>
  <c r="J100" i="3" s="1"/>
  <c r="J99" i="3" s="1"/>
  <c r="G101" i="3"/>
  <c r="G98" i="3"/>
  <c r="G97" i="3"/>
  <c r="G96" i="3"/>
  <c r="K95" i="3"/>
  <c r="J95" i="3"/>
  <c r="J93" i="3" s="1"/>
  <c r="I95" i="3"/>
  <c r="I93" i="3" s="1"/>
  <c r="G93" i="3" s="1"/>
  <c r="H95" i="3"/>
  <c r="G95" i="3" s="1"/>
  <c r="G94" i="3"/>
  <c r="K93" i="3"/>
  <c r="H93" i="3"/>
  <c r="G91" i="3"/>
  <c r="G90" i="3"/>
  <c r="J89" i="3"/>
  <c r="K86" i="3"/>
  <c r="J86" i="3"/>
  <c r="G86" i="3" s="1"/>
  <c r="I86" i="3"/>
  <c r="H86" i="3"/>
  <c r="G85" i="3"/>
  <c r="G84" i="3"/>
  <c r="G83" i="3"/>
  <c r="G82" i="3"/>
  <c r="G81" i="3"/>
  <c r="G79" i="3"/>
  <c r="K76" i="3"/>
  <c r="J76" i="3"/>
  <c r="I76" i="3"/>
  <c r="H76" i="3"/>
  <c r="G76" i="3" s="1"/>
  <c r="G75" i="3"/>
  <c r="G74" i="3"/>
  <c r="K73" i="3"/>
  <c r="K70" i="3" s="1"/>
  <c r="J73" i="3"/>
  <c r="G73" i="3" s="1"/>
  <c r="G72" i="3"/>
  <c r="G71" i="3"/>
  <c r="I70" i="3"/>
  <c r="H70" i="3"/>
  <c r="G69" i="3"/>
  <c r="G68" i="3"/>
  <c r="K67" i="3"/>
  <c r="J80" i="3" s="1"/>
  <c r="G66" i="3"/>
  <c r="I64" i="3"/>
  <c r="H64" i="3"/>
  <c r="H62" i="3"/>
  <c r="J65" i="3" s="1"/>
  <c r="K60" i="3"/>
  <c r="I60" i="3"/>
  <c r="H60" i="3"/>
  <c r="K57" i="3"/>
  <c r="J57" i="3"/>
  <c r="I57" i="3"/>
  <c r="I52" i="3" s="1"/>
  <c r="I87" i="3" s="1"/>
  <c r="H57" i="3"/>
  <c r="G57" i="3" s="1"/>
  <c r="K54" i="3"/>
  <c r="K52" i="3" s="1"/>
  <c r="J54" i="3"/>
  <c r="I54" i="3"/>
  <c r="H54" i="3"/>
  <c r="G53" i="3"/>
  <c r="H52" i="3"/>
  <c r="J49" i="3"/>
  <c r="I49" i="3"/>
  <c r="H49" i="3"/>
  <c r="G48" i="3"/>
  <c r="G47" i="3"/>
  <c r="G45" i="3"/>
  <c r="G44" i="3"/>
  <c r="H43" i="3"/>
  <c r="G42" i="3"/>
  <c r="K39" i="3"/>
  <c r="J39" i="3"/>
  <c r="J33" i="3" s="1"/>
  <c r="I39" i="3"/>
  <c r="I33" i="3" s="1"/>
  <c r="H39" i="3"/>
  <c r="G39" i="3" s="1"/>
  <c r="G38" i="3"/>
  <c r="G37" i="3"/>
  <c r="G36" i="3"/>
  <c r="G35" i="3"/>
  <c r="G34" i="3"/>
  <c r="K33" i="3"/>
  <c r="H33" i="3"/>
  <c r="G32" i="3"/>
  <c r="G31" i="3"/>
  <c r="K30" i="3"/>
  <c r="J43" i="3" s="1"/>
  <c r="G43" i="3" s="1"/>
  <c r="G30" i="3"/>
  <c r="G29" i="3"/>
  <c r="J28" i="3"/>
  <c r="G28" i="3"/>
  <c r="K27" i="3"/>
  <c r="G27" i="3" s="1"/>
  <c r="J27" i="3"/>
  <c r="I27" i="3"/>
  <c r="H27" i="3"/>
  <c r="G25" i="3"/>
  <c r="K46" i="3" s="1"/>
  <c r="K23" i="3"/>
  <c r="J23" i="3"/>
  <c r="I23" i="3"/>
  <c r="H23" i="3"/>
  <c r="G23" i="3" s="1"/>
  <c r="K20" i="3"/>
  <c r="J20" i="3"/>
  <c r="G20" i="3" s="1"/>
  <c r="I20" i="3"/>
  <c r="H20" i="3"/>
  <c r="K17" i="3"/>
  <c r="K15" i="3" s="1"/>
  <c r="K50" i="3" s="1"/>
  <c r="J17" i="3"/>
  <c r="I17" i="3"/>
  <c r="H17" i="3"/>
  <c r="H15" i="3" s="1"/>
  <c r="G17" i="3"/>
  <c r="G16" i="3"/>
  <c r="I15" i="3"/>
  <c r="I50" i="3" s="1"/>
  <c r="D9" i="3"/>
  <c r="K87" i="8" l="1"/>
  <c r="G64" i="8"/>
  <c r="G80" i="8"/>
  <c r="J87" i="8"/>
  <c r="G65" i="3"/>
  <c r="J64" i="3"/>
  <c r="G126" i="3"/>
  <c r="G142" i="3"/>
  <c r="H50" i="3"/>
  <c r="G46" i="3"/>
  <c r="K49" i="3"/>
  <c r="G49" i="3" s="1"/>
  <c r="G33" i="3"/>
  <c r="H120" i="3"/>
  <c r="G120" i="3" s="1"/>
  <c r="J15" i="3"/>
  <c r="J50" i="3" s="1"/>
  <c r="G54" i="3"/>
  <c r="K89" i="3"/>
  <c r="G89" i="3" s="1"/>
  <c r="J142" i="3"/>
  <c r="J62" i="3"/>
  <c r="J70" i="3"/>
  <c r="G70" i="3" s="1"/>
  <c r="H80" i="3"/>
  <c r="G80" i="3" s="1"/>
  <c r="H102" i="3"/>
  <c r="H133" i="3"/>
  <c r="K64" i="3"/>
  <c r="K87" i="3" s="1"/>
  <c r="G67" i="3"/>
  <c r="G87" i="8" l="1"/>
  <c r="G102" i="3"/>
  <c r="H100" i="3"/>
  <c r="H87" i="3"/>
  <c r="G15" i="3"/>
  <c r="G133" i="3"/>
  <c r="H132" i="3"/>
  <c r="G132" i="3" s="1"/>
  <c r="J60" i="3"/>
  <c r="G62" i="3"/>
  <c r="G64" i="3"/>
  <c r="G50" i="3"/>
  <c r="G60" i="3" l="1"/>
  <c r="J52" i="3"/>
  <c r="G100" i="3"/>
  <c r="H99" i="3"/>
  <c r="G99" i="3" s="1"/>
  <c r="J87" i="3" l="1"/>
  <c r="G87" i="3" s="1"/>
  <c r="G52" i="3"/>
  <c r="F151" i="2" l="1"/>
  <c r="I148" i="2"/>
  <c r="F148" i="2"/>
  <c r="G146" i="2"/>
  <c r="G145" i="2"/>
  <c r="K144" i="2"/>
  <c r="J144" i="2"/>
  <c r="I144" i="2"/>
  <c r="G144" i="2" s="1"/>
  <c r="H144" i="2"/>
  <c r="J143" i="2"/>
  <c r="I142" i="2"/>
  <c r="H142" i="2"/>
  <c r="G141" i="2"/>
  <c r="G140" i="2"/>
  <c r="G139" i="2"/>
  <c r="K138" i="2"/>
  <c r="J138" i="2"/>
  <c r="I138" i="2"/>
  <c r="G138" i="2" s="1"/>
  <c r="H138" i="2"/>
  <c r="G137" i="2"/>
  <c r="G136" i="2"/>
  <c r="K135" i="2"/>
  <c r="J135" i="2"/>
  <c r="I135" i="2"/>
  <c r="I133" i="2" s="1"/>
  <c r="H135" i="2"/>
  <c r="G134" i="2"/>
  <c r="K133" i="2"/>
  <c r="J133" i="2"/>
  <c r="J132" i="2" s="1"/>
  <c r="K132" i="2"/>
  <c r="G131" i="2"/>
  <c r="G130" i="2"/>
  <c r="G129" i="2"/>
  <c r="K128" i="2"/>
  <c r="K126" i="2" s="1"/>
  <c r="J128" i="2"/>
  <c r="I128" i="2"/>
  <c r="H128" i="2"/>
  <c r="H126" i="2" s="1"/>
  <c r="G128" i="2"/>
  <c r="G127" i="2"/>
  <c r="J126" i="2"/>
  <c r="I126" i="2"/>
  <c r="G124" i="2"/>
  <c r="G123" i="2"/>
  <c r="K122" i="2"/>
  <c r="J122" i="2"/>
  <c r="I122" i="2"/>
  <c r="H122" i="2"/>
  <c r="G122" i="2" s="1"/>
  <c r="J121" i="2"/>
  <c r="J120" i="2" s="1"/>
  <c r="I120" i="2"/>
  <c r="H120" i="2"/>
  <c r="G119" i="2"/>
  <c r="G118" i="2"/>
  <c r="G117" i="2"/>
  <c r="K116" i="2"/>
  <c r="J116" i="2"/>
  <c r="I116" i="2"/>
  <c r="H116" i="2"/>
  <c r="G116" i="2" s="1"/>
  <c r="G115" i="2"/>
  <c r="G114" i="2"/>
  <c r="G113" i="2"/>
  <c r="G112" i="2"/>
  <c r="G111" i="2"/>
  <c r="G110" i="2"/>
  <c r="K109" i="2"/>
  <c r="K102" i="2" s="1"/>
  <c r="K100" i="2" s="1"/>
  <c r="K99" i="2" s="1"/>
  <c r="J109" i="2"/>
  <c r="I109" i="2"/>
  <c r="H109" i="2"/>
  <c r="H102" i="2" s="1"/>
  <c r="G109" i="2"/>
  <c r="G108" i="2"/>
  <c r="G107" i="2"/>
  <c r="K106" i="2"/>
  <c r="J106" i="2"/>
  <c r="G106" i="2" s="1"/>
  <c r="I106" i="2"/>
  <c r="H106" i="2"/>
  <c r="G105" i="2"/>
  <c r="G104" i="2"/>
  <c r="K103" i="2"/>
  <c r="J103" i="2"/>
  <c r="I103" i="2"/>
  <c r="H103" i="2"/>
  <c r="J102" i="2"/>
  <c r="J100" i="2" s="1"/>
  <c r="J99" i="2" s="1"/>
  <c r="G101" i="2"/>
  <c r="H100" i="2"/>
  <c r="G98" i="2"/>
  <c r="G97" i="2"/>
  <c r="G96" i="2"/>
  <c r="K95" i="2"/>
  <c r="J95" i="2"/>
  <c r="J93" i="2" s="1"/>
  <c r="I95" i="2"/>
  <c r="H95" i="2"/>
  <c r="G94" i="2"/>
  <c r="K93" i="2"/>
  <c r="H93" i="2"/>
  <c r="G91" i="2"/>
  <c r="G90" i="2"/>
  <c r="J89" i="2"/>
  <c r="J86" i="2"/>
  <c r="I86" i="2"/>
  <c r="H86" i="2"/>
  <c r="K85" i="2"/>
  <c r="G85" i="2" s="1"/>
  <c r="G84" i="2"/>
  <c r="K83" i="2"/>
  <c r="K86" i="2" s="1"/>
  <c r="G83" i="2"/>
  <c r="G82" i="2"/>
  <c r="G81" i="2"/>
  <c r="H80" i="2"/>
  <c r="G79" i="2"/>
  <c r="K76" i="2"/>
  <c r="J76" i="2"/>
  <c r="G76" i="2" s="1"/>
  <c r="I76" i="2"/>
  <c r="H76" i="2"/>
  <c r="G75" i="2"/>
  <c r="G74" i="2"/>
  <c r="J73" i="2"/>
  <c r="K73" i="2" s="1"/>
  <c r="G73" i="2"/>
  <c r="G72" i="2"/>
  <c r="G71" i="2"/>
  <c r="J70" i="2"/>
  <c r="I70" i="2"/>
  <c r="H70" i="2"/>
  <c r="G69" i="2"/>
  <c r="G68" i="2"/>
  <c r="G66" i="2"/>
  <c r="I64" i="2"/>
  <c r="H64" i="2"/>
  <c r="J62" i="2"/>
  <c r="G62" i="2" s="1"/>
  <c r="H62" i="2"/>
  <c r="J65" i="2" s="1"/>
  <c r="G65" i="2" s="1"/>
  <c r="K60" i="2"/>
  <c r="I60" i="2"/>
  <c r="H60" i="2"/>
  <c r="K57" i="2"/>
  <c r="K52" i="2" s="1"/>
  <c r="J57" i="2"/>
  <c r="I57" i="2"/>
  <c r="H57" i="2"/>
  <c r="G57" i="2"/>
  <c r="K54" i="2"/>
  <c r="J54" i="2"/>
  <c r="I54" i="2"/>
  <c r="I52" i="2" s="1"/>
  <c r="I87" i="2" s="1"/>
  <c r="H54" i="2"/>
  <c r="G53" i="2"/>
  <c r="J49" i="2"/>
  <c r="I49" i="2"/>
  <c r="H49" i="2"/>
  <c r="G48" i="2"/>
  <c r="G47" i="2"/>
  <c r="G45" i="2"/>
  <c r="G44" i="2"/>
  <c r="J43" i="2"/>
  <c r="G42" i="2"/>
  <c r="K39" i="2"/>
  <c r="K33" i="2" s="1"/>
  <c r="J39" i="2"/>
  <c r="I39" i="2"/>
  <c r="I33" i="2" s="1"/>
  <c r="H39" i="2"/>
  <c r="H33" i="2" s="1"/>
  <c r="G39" i="2"/>
  <c r="G38" i="2"/>
  <c r="G37" i="2"/>
  <c r="K121" i="2"/>
  <c r="G36" i="2"/>
  <c r="K46" i="2" s="1"/>
  <c r="G35" i="2"/>
  <c r="G34" i="2"/>
  <c r="J33" i="2"/>
  <c r="G32" i="2"/>
  <c r="G31" i="2"/>
  <c r="K30" i="2"/>
  <c r="G30" i="2"/>
  <c r="G29" i="2"/>
  <c r="J28" i="2"/>
  <c r="H43" i="2" s="1"/>
  <c r="G28" i="2"/>
  <c r="K27" i="2"/>
  <c r="J27" i="2"/>
  <c r="I27" i="2"/>
  <c r="H27" i="2"/>
  <c r="G27" i="2"/>
  <c r="G25" i="2"/>
  <c r="K23" i="2"/>
  <c r="J23" i="2"/>
  <c r="I23" i="2"/>
  <c r="H23" i="2"/>
  <c r="K20" i="2"/>
  <c r="J20" i="2"/>
  <c r="I20" i="2"/>
  <c r="G20" i="2" s="1"/>
  <c r="H20" i="2"/>
  <c r="K17" i="2"/>
  <c r="K15" i="2" s="1"/>
  <c r="J17" i="2"/>
  <c r="J15" i="2" s="1"/>
  <c r="I17" i="2"/>
  <c r="H17" i="2"/>
  <c r="G16" i="2"/>
  <c r="I15" i="2"/>
  <c r="I50" i="2" s="1"/>
  <c r="H15" i="2"/>
  <c r="D9" i="2"/>
  <c r="K50" i="2" l="1"/>
  <c r="K120" i="2"/>
  <c r="G120" i="2" s="1"/>
  <c r="K143" i="2"/>
  <c r="K142" i="2" s="1"/>
  <c r="G33" i="2"/>
  <c r="K49" i="2"/>
  <c r="G46" i="2"/>
  <c r="G95" i="2"/>
  <c r="I93" i="2"/>
  <c r="G93" i="2" s="1"/>
  <c r="J50" i="2"/>
  <c r="J60" i="2"/>
  <c r="G70" i="2"/>
  <c r="K67" i="2"/>
  <c r="K89" i="2"/>
  <c r="G89" i="2" s="1"/>
  <c r="K70" i="2"/>
  <c r="G143" i="2"/>
  <c r="J142" i="2"/>
  <c r="G17" i="2"/>
  <c r="G43" i="2"/>
  <c r="G54" i="2"/>
  <c r="H52" i="2"/>
  <c r="G86" i="2"/>
  <c r="G121" i="2"/>
  <c r="G126" i="2"/>
  <c r="G135" i="2"/>
  <c r="H133" i="2"/>
  <c r="G15" i="2"/>
  <c r="H50" i="2"/>
  <c r="G50" i="2" s="1"/>
  <c r="G23" i="2"/>
  <c r="G49" i="2"/>
  <c r="J64" i="2"/>
  <c r="G100" i="2"/>
  <c r="H99" i="2"/>
  <c r="I102" i="2"/>
  <c r="I100" i="2" s="1"/>
  <c r="I99" i="2" s="1"/>
  <c r="G103" i="2"/>
  <c r="G102" i="2"/>
  <c r="I132" i="2"/>
  <c r="G142" i="2" l="1"/>
  <c r="H87" i="2"/>
  <c r="G64" i="2"/>
  <c r="J80" i="2"/>
  <c r="G80" i="2" s="1"/>
  <c r="G67" i="2"/>
  <c r="K64" i="2"/>
  <c r="K87" i="2" s="1"/>
  <c r="G133" i="2"/>
  <c r="H132" i="2"/>
  <c r="G132" i="2" s="1"/>
  <c r="G99" i="2"/>
  <c r="G60" i="2"/>
  <c r="J52" i="2"/>
  <c r="J87" i="2" s="1"/>
  <c r="G52" i="2" l="1"/>
  <c r="G87" i="2"/>
  <c r="F151" i="6" l="1"/>
  <c r="I148" i="6"/>
  <c r="F148" i="6"/>
  <c r="G146" i="6"/>
  <c r="G145" i="6"/>
  <c r="K144" i="6"/>
  <c r="J144" i="6"/>
  <c r="I144" i="6"/>
  <c r="G144" i="6" s="1"/>
  <c r="H144" i="6"/>
  <c r="K143" i="6"/>
  <c r="K142" i="6" s="1"/>
  <c r="J143" i="6"/>
  <c r="I142" i="6"/>
  <c r="H142" i="6"/>
  <c r="G141" i="6"/>
  <c r="G140" i="6"/>
  <c r="G139" i="6"/>
  <c r="K138" i="6"/>
  <c r="J138" i="6"/>
  <c r="I138" i="6"/>
  <c r="G138" i="6" s="1"/>
  <c r="H138" i="6"/>
  <c r="G137" i="6"/>
  <c r="G136" i="6"/>
  <c r="K135" i="6"/>
  <c r="J135" i="6"/>
  <c r="I135" i="6"/>
  <c r="I133" i="6" s="1"/>
  <c r="H135" i="6"/>
  <c r="G134" i="6"/>
  <c r="K133" i="6"/>
  <c r="J133" i="6"/>
  <c r="J132" i="6" s="1"/>
  <c r="K132" i="6"/>
  <c r="G131" i="6"/>
  <c r="G130" i="6"/>
  <c r="G129" i="6"/>
  <c r="K128" i="6"/>
  <c r="K126" i="6" s="1"/>
  <c r="J128" i="6"/>
  <c r="I128" i="6"/>
  <c r="H128" i="6"/>
  <c r="H126" i="6" s="1"/>
  <c r="G128" i="6"/>
  <c r="G127" i="6"/>
  <c r="J126" i="6"/>
  <c r="I126" i="6"/>
  <c r="G124" i="6"/>
  <c r="G123" i="6"/>
  <c r="K122" i="6"/>
  <c r="J122" i="6"/>
  <c r="I122" i="6"/>
  <c r="H122" i="6"/>
  <c r="G122" i="6" s="1"/>
  <c r="K121" i="6"/>
  <c r="K120" i="6" s="1"/>
  <c r="J121" i="6"/>
  <c r="J120" i="6" s="1"/>
  <c r="G121" i="6"/>
  <c r="I120" i="6"/>
  <c r="G119" i="6"/>
  <c r="G118" i="6"/>
  <c r="G117" i="6"/>
  <c r="K116" i="6"/>
  <c r="J116" i="6"/>
  <c r="I116" i="6"/>
  <c r="H116" i="6"/>
  <c r="G116" i="6" s="1"/>
  <c r="G115" i="6"/>
  <c r="G114" i="6"/>
  <c r="G113" i="6"/>
  <c r="G112" i="6"/>
  <c r="G111" i="6"/>
  <c r="G110" i="6"/>
  <c r="K109" i="6"/>
  <c r="K102" i="6" s="1"/>
  <c r="K100" i="6" s="1"/>
  <c r="K99" i="6" s="1"/>
  <c r="J109" i="6"/>
  <c r="I109" i="6"/>
  <c r="H109" i="6"/>
  <c r="H102" i="6" s="1"/>
  <c r="G109" i="6"/>
  <c r="G108" i="6"/>
  <c r="G107" i="6"/>
  <c r="K106" i="6"/>
  <c r="J106" i="6"/>
  <c r="G106" i="6" s="1"/>
  <c r="I106" i="6"/>
  <c r="H106" i="6"/>
  <c r="G105" i="6"/>
  <c r="G104" i="6"/>
  <c r="K103" i="6"/>
  <c r="J103" i="6"/>
  <c r="I103" i="6"/>
  <c r="H103" i="6"/>
  <c r="J102" i="6"/>
  <c r="J100" i="6" s="1"/>
  <c r="J99" i="6" s="1"/>
  <c r="G101" i="6"/>
  <c r="H100" i="6"/>
  <c r="G98" i="6"/>
  <c r="G97" i="6"/>
  <c r="G96" i="6"/>
  <c r="K95" i="6"/>
  <c r="J95" i="6"/>
  <c r="J93" i="6" s="1"/>
  <c r="I95" i="6"/>
  <c r="H95" i="6"/>
  <c r="G94" i="6"/>
  <c r="K93" i="6"/>
  <c r="H93" i="6"/>
  <c r="G91" i="6"/>
  <c r="G90" i="6"/>
  <c r="J89" i="6"/>
  <c r="J86" i="6"/>
  <c r="I86" i="6"/>
  <c r="H86" i="6"/>
  <c r="G85" i="6"/>
  <c r="G84" i="6"/>
  <c r="G82" i="6"/>
  <c r="G81" i="6"/>
  <c r="G79" i="6"/>
  <c r="K76" i="6"/>
  <c r="J76" i="6"/>
  <c r="I76" i="6"/>
  <c r="G76" i="6" s="1"/>
  <c r="H76" i="6"/>
  <c r="G75" i="6"/>
  <c r="G74" i="6"/>
  <c r="J73" i="6"/>
  <c r="K73" i="6" s="1"/>
  <c r="G72" i="6"/>
  <c r="G71" i="6"/>
  <c r="J70" i="6"/>
  <c r="I70" i="6"/>
  <c r="H70" i="6"/>
  <c r="G69" i="6"/>
  <c r="G68" i="6"/>
  <c r="G66" i="6"/>
  <c r="J65" i="6"/>
  <c r="I64" i="6"/>
  <c r="H64" i="6"/>
  <c r="H62" i="6"/>
  <c r="K60" i="6"/>
  <c r="I60" i="6"/>
  <c r="I52" i="6" s="1"/>
  <c r="I87" i="6" s="1"/>
  <c r="K57" i="6"/>
  <c r="J57" i="6"/>
  <c r="I57" i="6"/>
  <c r="H57" i="6"/>
  <c r="K54" i="6"/>
  <c r="K52" i="6" s="1"/>
  <c r="J54" i="6"/>
  <c r="I54" i="6"/>
  <c r="H54" i="6"/>
  <c r="G54" i="6"/>
  <c r="G53" i="6"/>
  <c r="J49" i="6"/>
  <c r="I49" i="6"/>
  <c r="H49" i="6"/>
  <c r="K48" i="6"/>
  <c r="G48" i="6"/>
  <c r="G47" i="6"/>
  <c r="G45" i="6"/>
  <c r="G44" i="6"/>
  <c r="J43" i="6"/>
  <c r="G42" i="6"/>
  <c r="K39" i="6"/>
  <c r="K33" i="6" s="1"/>
  <c r="J39" i="6"/>
  <c r="I39" i="6"/>
  <c r="H39" i="6"/>
  <c r="H33" i="6" s="1"/>
  <c r="G39" i="6"/>
  <c r="G38" i="6"/>
  <c r="G37" i="6"/>
  <c r="G36" i="6"/>
  <c r="K46" i="6" s="1"/>
  <c r="G35" i="6"/>
  <c r="G34" i="6"/>
  <c r="J33" i="6"/>
  <c r="I33" i="6"/>
  <c r="G32" i="6"/>
  <c r="G31" i="6"/>
  <c r="K30" i="6"/>
  <c r="G30" i="6"/>
  <c r="G29" i="6"/>
  <c r="J28" i="6"/>
  <c r="K27" i="6"/>
  <c r="J27" i="6"/>
  <c r="I27" i="6"/>
  <c r="G27" i="6" s="1"/>
  <c r="H27" i="6"/>
  <c r="G25" i="6"/>
  <c r="K23" i="6"/>
  <c r="K15" i="6" s="1"/>
  <c r="K50" i="6" s="1"/>
  <c r="J23" i="6"/>
  <c r="I23" i="6"/>
  <c r="H23" i="6"/>
  <c r="G23" i="6"/>
  <c r="K20" i="6"/>
  <c r="J20" i="6"/>
  <c r="I20" i="6"/>
  <c r="H20" i="6"/>
  <c r="G20" i="6" s="1"/>
  <c r="K17" i="6"/>
  <c r="J17" i="6"/>
  <c r="J15" i="6" s="1"/>
  <c r="J50" i="6" s="1"/>
  <c r="I17" i="6"/>
  <c r="H17" i="6"/>
  <c r="G16" i="6"/>
  <c r="D9" i="6"/>
  <c r="G46" i="6" l="1"/>
  <c r="K49" i="6"/>
  <c r="G49" i="6" s="1"/>
  <c r="G142" i="6"/>
  <c r="G33" i="6"/>
  <c r="G65" i="6"/>
  <c r="J64" i="6"/>
  <c r="G143" i="6"/>
  <c r="J142" i="6"/>
  <c r="H15" i="6"/>
  <c r="G17" i="6"/>
  <c r="I15" i="6"/>
  <c r="I50" i="6" s="1"/>
  <c r="G57" i="6"/>
  <c r="G62" i="6"/>
  <c r="H60" i="6"/>
  <c r="G60" i="6" s="1"/>
  <c r="H80" i="6"/>
  <c r="J62" i="6"/>
  <c r="J60" i="6" s="1"/>
  <c r="J52" i="6" s="1"/>
  <c r="G70" i="6"/>
  <c r="K70" i="6"/>
  <c r="K89" i="6"/>
  <c r="G73" i="6"/>
  <c r="G100" i="6"/>
  <c r="H99" i="6"/>
  <c r="I102" i="6"/>
  <c r="I100" i="6" s="1"/>
  <c r="I99" i="6" s="1"/>
  <c r="G103" i="6"/>
  <c r="G102" i="6"/>
  <c r="G126" i="6"/>
  <c r="G135" i="6"/>
  <c r="H133" i="6"/>
  <c r="H43" i="6"/>
  <c r="G43" i="6" s="1"/>
  <c r="G28" i="6"/>
  <c r="G89" i="6"/>
  <c r="G95" i="6"/>
  <c r="I93" i="6"/>
  <c r="G93" i="6" s="1"/>
  <c r="H120" i="6"/>
  <c r="G120" i="6" s="1"/>
  <c r="I132" i="6"/>
  <c r="G133" i="6" l="1"/>
  <c r="H132" i="6"/>
  <c r="G132" i="6" s="1"/>
  <c r="K83" i="6"/>
  <c r="H50" i="6"/>
  <c r="G50" i="6" s="1"/>
  <c r="G15" i="6"/>
  <c r="G99" i="6"/>
  <c r="H52" i="6"/>
  <c r="H87" i="6" l="1"/>
  <c r="G52" i="6"/>
  <c r="K86" i="6"/>
  <c r="G86" i="6" s="1"/>
  <c r="G83" i="6"/>
  <c r="K67" i="6"/>
  <c r="J80" i="6" l="1"/>
  <c r="G67" i="6"/>
  <c r="K64" i="6"/>
  <c r="J87" i="6" l="1"/>
  <c r="G87" i="6" s="1"/>
  <c r="G80" i="6"/>
  <c r="K87" i="6"/>
  <c r="G64" i="6"/>
  <c r="F151" i="5" l="1"/>
  <c r="I148" i="5"/>
  <c r="F148" i="5"/>
  <c r="G146" i="5"/>
  <c r="G145" i="5"/>
  <c r="K144" i="5"/>
  <c r="J144" i="5"/>
  <c r="I144" i="5"/>
  <c r="G144" i="5" s="1"/>
  <c r="H144" i="5"/>
  <c r="K143" i="5"/>
  <c r="K142" i="5" s="1"/>
  <c r="J143" i="5"/>
  <c r="G143" i="5" s="1"/>
  <c r="I142" i="5"/>
  <c r="H142" i="5"/>
  <c r="G141" i="5"/>
  <c r="G140" i="5"/>
  <c r="G139" i="5"/>
  <c r="K138" i="5"/>
  <c r="J138" i="5"/>
  <c r="I138" i="5"/>
  <c r="G138" i="5" s="1"/>
  <c r="H138" i="5"/>
  <c r="G137" i="5"/>
  <c r="G136" i="5"/>
  <c r="K135" i="5"/>
  <c r="J135" i="5"/>
  <c r="I135" i="5"/>
  <c r="I133" i="5" s="1"/>
  <c r="I132" i="5" s="1"/>
  <c r="H135" i="5"/>
  <c r="G135" i="5" s="1"/>
  <c r="G134" i="5"/>
  <c r="K133" i="5"/>
  <c r="J133" i="5"/>
  <c r="J132" i="5" s="1"/>
  <c r="K132" i="5"/>
  <c r="G131" i="5"/>
  <c r="G130" i="5"/>
  <c r="G129" i="5"/>
  <c r="K128" i="5"/>
  <c r="K126" i="5" s="1"/>
  <c r="J128" i="5"/>
  <c r="I128" i="5"/>
  <c r="H128" i="5"/>
  <c r="H126" i="5" s="1"/>
  <c r="G128" i="5"/>
  <c r="G127" i="5"/>
  <c r="J126" i="5"/>
  <c r="I126" i="5"/>
  <c r="G124" i="5"/>
  <c r="G123" i="5"/>
  <c r="K122" i="5"/>
  <c r="J122" i="5"/>
  <c r="I122" i="5"/>
  <c r="H122" i="5"/>
  <c r="G122" i="5" s="1"/>
  <c r="K121" i="5"/>
  <c r="K120" i="5" s="1"/>
  <c r="J121" i="5"/>
  <c r="J120" i="5" s="1"/>
  <c r="G121" i="5"/>
  <c r="I120" i="5"/>
  <c r="H120" i="5"/>
  <c r="G119" i="5"/>
  <c r="G118" i="5"/>
  <c r="G117" i="5"/>
  <c r="K116" i="5"/>
  <c r="J116" i="5"/>
  <c r="I116" i="5"/>
  <c r="H116" i="5"/>
  <c r="G116" i="5" s="1"/>
  <c r="G115" i="5"/>
  <c r="G114" i="5"/>
  <c r="G113" i="5"/>
  <c r="G112" i="5"/>
  <c r="G111" i="5"/>
  <c r="G110" i="5"/>
  <c r="K109" i="5"/>
  <c r="K102" i="5" s="1"/>
  <c r="K100" i="5" s="1"/>
  <c r="K99" i="5" s="1"/>
  <c r="J109" i="5"/>
  <c r="I109" i="5"/>
  <c r="H109" i="5"/>
  <c r="H102" i="5" s="1"/>
  <c r="G109" i="5"/>
  <c r="G108" i="5"/>
  <c r="G107" i="5"/>
  <c r="K106" i="5"/>
  <c r="J106" i="5"/>
  <c r="G106" i="5" s="1"/>
  <c r="I106" i="5"/>
  <c r="H106" i="5"/>
  <c r="G105" i="5"/>
  <c r="G104" i="5"/>
  <c r="K103" i="5"/>
  <c r="J103" i="5"/>
  <c r="I103" i="5"/>
  <c r="I102" i="5" s="1"/>
  <c r="I100" i="5" s="1"/>
  <c r="I99" i="5" s="1"/>
  <c r="H103" i="5"/>
  <c r="J102" i="5"/>
  <c r="J100" i="5" s="1"/>
  <c r="J99" i="5" s="1"/>
  <c r="G101" i="5"/>
  <c r="G98" i="5"/>
  <c r="G97" i="5"/>
  <c r="G96" i="5"/>
  <c r="K95" i="5"/>
  <c r="J95" i="5"/>
  <c r="J93" i="5" s="1"/>
  <c r="I95" i="5"/>
  <c r="H95" i="5"/>
  <c r="G94" i="5"/>
  <c r="K93" i="5"/>
  <c r="H93" i="5"/>
  <c r="G91" i="5"/>
  <c r="G90" i="5"/>
  <c r="J89" i="5"/>
  <c r="K86" i="5"/>
  <c r="J86" i="5"/>
  <c r="G86" i="5" s="1"/>
  <c r="I86" i="5"/>
  <c r="H86" i="5"/>
  <c r="G85" i="5"/>
  <c r="G84" i="5"/>
  <c r="G83" i="5"/>
  <c r="G82" i="5"/>
  <c r="G81" i="5"/>
  <c r="G79" i="5"/>
  <c r="K76" i="5"/>
  <c r="J76" i="5"/>
  <c r="I76" i="5"/>
  <c r="H76" i="5"/>
  <c r="G76" i="5" s="1"/>
  <c r="G75" i="5"/>
  <c r="G74" i="5"/>
  <c r="K73" i="5"/>
  <c r="J73" i="5"/>
  <c r="G72" i="5"/>
  <c r="G71" i="5"/>
  <c r="J70" i="5"/>
  <c r="I70" i="5"/>
  <c r="H70" i="5"/>
  <c r="G69" i="5"/>
  <c r="G68" i="5"/>
  <c r="K67" i="5"/>
  <c r="G66" i="5"/>
  <c r="I64" i="5"/>
  <c r="H64" i="5"/>
  <c r="H62" i="5"/>
  <c r="H80" i="5" s="1"/>
  <c r="K60" i="5"/>
  <c r="I60" i="5"/>
  <c r="H60" i="5"/>
  <c r="K57" i="5"/>
  <c r="J57" i="5"/>
  <c r="I57" i="5"/>
  <c r="H57" i="5"/>
  <c r="K54" i="5"/>
  <c r="K52" i="5" s="1"/>
  <c r="J54" i="5"/>
  <c r="I54" i="5"/>
  <c r="H54" i="5"/>
  <c r="G53" i="5"/>
  <c r="K49" i="5"/>
  <c r="J49" i="5"/>
  <c r="G49" i="5" s="1"/>
  <c r="I49" i="5"/>
  <c r="H49" i="5"/>
  <c r="G48" i="5"/>
  <c r="G47" i="5"/>
  <c r="K46" i="5"/>
  <c r="G46" i="5"/>
  <c r="G45" i="5"/>
  <c r="G44" i="5"/>
  <c r="H43" i="5"/>
  <c r="G42" i="5"/>
  <c r="K39" i="5"/>
  <c r="J39" i="5"/>
  <c r="J33" i="5" s="1"/>
  <c r="I39" i="5"/>
  <c r="H39" i="5"/>
  <c r="G38" i="5"/>
  <c r="G37" i="5"/>
  <c r="G36" i="5"/>
  <c r="G35" i="5"/>
  <c r="G34" i="5"/>
  <c r="K33" i="5"/>
  <c r="H33" i="5"/>
  <c r="G32" i="5"/>
  <c r="G31" i="5"/>
  <c r="K30" i="5"/>
  <c r="J43" i="5" s="1"/>
  <c r="G43" i="5" s="1"/>
  <c r="G30" i="5"/>
  <c r="G29" i="5"/>
  <c r="J28" i="5"/>
  <c r="J27" i="5" s="1"/>
  <c r="G28" i="5"/>
  <c r="K27" i="5"/>
  <c r="G27" i="5" s="1"/>
  <c r="I27" i="5"/>
  <c r="H27" i="5"/>
  <c r="G25" i="5"/>
  <c r="K23" i="5"/>
  <c r="J23" i="5"/>
  <c r="I23" i="5"/>
  <c r="G23" i="5" s="1"/>
  <c r="H23" i="5"/>
  <c r="K20" i="5"/>
  <c r="J20" i="5"/>
  <c r="I20" i="5"/>
  <c r="H20" i="5"/>
  <c r="K17" i="5"/>
  <c r="K15" i="5" s="1"/>
  <c r="J17" i="5"/>
  <c r="I17" i="5"/>
  <c r="H17" i="5"/>
  <c r="H15" i="5" s="1"/>
  <c r="G17" i="5"/>
  <c r="G16" i="5"/>
  <c r="I15" i="5"/>
  <c r="D9" i="5"/>
  <c r="I50" i="5" l="1"/>
  <c r="H50" i="5"/>
  <c r="G80" i="5"/>
  <c r="G95" i="5"/>
  <c r="I93" i="5"/>
  <c r="G93" i="5" s="1"/>
  <c r="G39" i="5"/>
  <c r="I33" i="5"/>
  <c r="G33" i="5" s="1"/>
  <c r="G57" i="5"/>
  <c r="I52" i="5"/>
  <c r="I87" i="5" s="1"/>
  <c r="J80" i="5"/>
  <c r="G67" i="5"/>
  <c r="K64" i="5"/>
  <c r="K87" i="5" s="1"/>
  <c r="G102" i="5"/>
  <c r="H100" i="5"/>
  <c r="G126" i="5"/>
  <c r="G20" i="5"/>
  <c r="J15" i="5"/>
  <c r="J50" i="5" s="1"/>
  <c r="H52" i="5"/>
  <c r="G54" i="5"/>
  <c r="K70" i="5"/>
  <c r="G70" i="5" s="1"/>
  <c r="G73" i="5"/>
  <c r="K89" i="5"/>
  <c r="G89" i="5" s="1"/>
  <c r="G120" i="5"/>
  <c r="K50" i="5"/>
  <c r="J65" i="5"/>
  <c r="J142" i="5"/>
  <c r="G142" i="5" s="1"/>
  <c r="J62" i="5"/>
  <c r="G103" i="5"/>
  <c r="H133" i="5"/>
  <c r="G50" i="5" l="1"/>
  <c r="G133" i="5"/>
  <c r="H132" i="5"/>
  <c r="G132" i="5" s="1"/>
  <c r="J64" i="5"/>
  <c r="G64" i="5" s="1"/>
  <c r="G65" i="5"/>
  <c r="J60" i="5"/>
  <c r="G62" i="5"/>
  <c r="H87" i="5"/>
  <c r="G100" i="5"/>
  <c r="H99" i="5"/>
  <c r="G99" i="5" s="1"/>
  <c r="G15" i="5"/>
  <c r="G60" i="5" l="1"/>
  <c r="J52" i="5"/>
  <c r="J87" i="5" l="1"/>
  <c r="G87" i="5" s="1"/>
  <c r="G52" i="5"/>
  <c r="F151" i="7" l="1"/>
  <c r="I148" i="7"/>
  <c r="F148" i="7"/>
  <c r="G146" i="7"/>
  <c r="G145" i="7"/>
  <c r="K144" i="7"/>
  <c r="J144" i="7"/>
  <c r="I144" i="7"/>
  <c r="H144" i="7"/>
  <c r="G144" i="7" s="1"/>
  <c r="J143" i="7"/>
  <c r="I142" i="7"/>
  <c r="H142" i="7"/>
  <c r="G141" i="7"/>
  <c r="G140" i="7"/>
  <c r="G139" i="7"/>
  <c r="K138" i="7"/>
  <c r="J138" i="7"/>
  <c r="I138" i="7"/>
  <c r="H138" i="7"/>
  <c r="G138" i="7" s="1"/>
  <c r="G137" i="7"/>
  <c r="G136" i="7"/>
  <c r="K135" i="7"/>
  <c r="J135" i="7"/>
  <c r="I135" i="7"/>
  <c r="I133" i="7" s="1"/>
  <c r="I132" i="7" s="1"/>
  <c r="H135" i="7"/>
  <c r="G135" i="7" s="1"/>
  <c r="G134" i="7"/>
  <c r="K133" i="7"/>
  <c r="J133" i="7"/>
  <c r="J132" i="7" s="1"/>
  <c r="K132" i="7"/>
  <c r="G131" i="7"/>
  <c r="G130" i="7"/>
  <c r="G129" i="7"/>
  <c r="K128" i="7"/>
  <c r="K126" i="7" s="1"/>
  <c r="J128" i="7"/>
  <c r="I128" i="7"/>
  <c r="H128" i="7"/>
  <c r="H126" i="7" s="1"/>
  <c r="G126" i="7" s="1"/>
  <c r="G128" i="7"/>
  <c r="G127" i="7"/>
  <c r="J126" i="7"/>
  <c r="I126" i="7"/>
  <c r="G124" i="7"/>
  <c r="G123" i="7"/>
  <c r="K122" i="7"/>
  <c r="J122" i="7"/>
  <c r="I122" i="7"/>
  <c r="H122" i="7"/>
  <c r="G122" i="7" s="1"/>
  <c r="J121" i="7"/>
  <c r="J120" i="7" s="1"/>
  <c r="I120" i="7"/>
  <c r="H120" i="7"/>
  <c r="G119" i="7"/>
  <c r="G118" i="7"/>
  <c r="G117" i="7"/>
  <c r="K116" i="7"/>
  <c r="J116" i="7"/>
  <c r="I116" i="7"/>
  <c r="H116" i="7"/>
  <c r="G116" i="7" s="1"/>
  <c r="G115" i="7"/>
  <c r="G114" i="7"/>
  <c r="G113" i="7"/>
  <c r="G112" i="7"/>
  <c r="G111" i="7"/>
  <c r="G110" i="7"/>
  <c r="K109" i="7"/>
  <c r="K102" i="7" s="1"/>
  <c r="K100" i="7" s="1"/>
  <c r="K99" i="7" s="1"/>
  <c r="J109" i="7"/>
  <c r="I109" i="7"/>
  <c r="H109" i="7"/>
  <c r="G108" i="7"/>
  <c r="G107" i="7"/>
  <c r="K106" i="7"/>
  <c r="J106" i="7"/>
  <c r="G106" i="7" s="1"/>
  <c r="I106" i="7"/>
  <c r="H106" i="7"/>
  <c r="G105" i="7"/>
  <c r="G104" i="7"/>
  <c r="K103" i="7"/>
  <c r="J103" i="7"/>
  <c r="I103" i="7"/>
  <c r="I102" i="7" s="1"/>
  <c r="I100" i="7" s="1"/>
  <c r="I99" i="7" s="1"/>
  <c r="H103" i="7"/>
  <c r="G103" i="7" s="1"/>
  <c r="J102" i="7"/>
  <c r="J100" i="7" s="1"/>
  <c r="J99" i="7" s="1"/>
  <c r="G101" i="7"/>
  <c r="G98" i="7"/>
  <c r="G97" i="7"/>
  <c r="G96" i="7"/>
  <c r="K95" i="7"/>
  <c r="J95" i="7"/>
  <c r="J93" i="7" s="1"/>
  <c r="I95" i="7"/>
  <c r="I93" i="7" s="1"/>
  <c r="G93" i="7" s="1"/>
  <c r="H95" i="7"/>
  <c r="G95" i="7" s="1"/>
  <c r="G94" i="7"/>
  <c r="K93" i="7"/>
  <c r="H93" i="7"/>
  <c r="G91" i="7"/>
  <c r="G90" i="7"/>
  <c r="K89" i="7"/>
  <c r="J89" i="7"/>
  <c r="G89" i="7" s="1"/>
  <c r="J86" i="7"/>
  <c r="I86" i="7"/>
  <c r="H86" i="7"/>
  <c r="G85" i="7"/>
  <c r="G84" i="7"/>
  <c r="G82" i="7"/>
  <c r="G81" i="7"/>
  <c r="G79" i="7"/>
  <c r="K76" i="7"/>
  <c r="J76" i="7"/>
  <c r="I76" i="7"/>
  <c r="H76" i="7"/>
  <c r="G76" i="7" s="1"/>
  <c r="G75" i="7"/>
  <c r="G74" i="7"/>
  <c r="K73" i="7"/>
  <c r="K70" i="7" s="1"/>
  <c r="J73" i="7"/>
  <c r="G73" i="7"/>
  <c r="G72" i="7"/>
  <c r="G71" i="7"/>
  <c r="J70" i="7"/>
  <c r="I70" i="7"/>
  <c r="H70" i="7"/>
  <c r="G70" i="7" s="1"/>
  <c r="G69" i="7"/>
  <c r="G68" i="7"/>
  <c r="G66" i="7"/>
  <c r="I64" i="7"/>
  <c r="H64" i="7"/>
  <c r="H62" i="7"/>
  <c r="K60" i="7"/>
  <c r="I60" i="7"/>
  <c r="K57" i="7"/>
  <c r="J57" i="7"/>
  <c r="G57" i="7" s="1"/>
  <c r="I57" i="7"/>
  <c r="H57" i="7"/>
  <c r="K54" i="7"/>
  <c r="K52" i="7" s="1"/>
  <c r="J54" i="7"/>
  <c r="I54" i="7"/>
  <c r="H54" i="7"/>
  <c r="G54" i="7"/>
  <c r="G53" i="7"/>
  <c r="I52" i="7"/>
  <c r="I87" i="7" s="1"/>
  <c r="J49" i="7"/>
  <c r="I49" i="7"/>
  <c r="H49" i="7"/>
  <c r="K48" i="7"/>
  <c r="G48" i="7" s="1"/>
  <c r="G47" i="7"/>
  <c r="G45" i="7"/>
  <c r="G44" i="7"/>
  <c r="J43" i="7"/>
  <c r="G42" i="7"/>
  <c r="K39" i="7"/>
  <c r="G39" i="7" s="1"/>
  <c r="J39" i="7"/>
  <c r="I39" i="7"/>
  <c r="H39" i="7"/>
  <c r="H33" i="7" s="1"/>
  <c r="G38" i="7"/>
  <c r="G37" i="7"/>
  <c r="K121" i="7"/>
  <c r="G36" i="7"/>
  <c r="G35" i="7"/>
  <c r="G34" i="7"/>
  <c r="J33" i="7"/>
  <c r="I33" i="7"/>
  <c r="G32" i="7"/>
  <c r="G31" i="7"/>
  <c r="K30" i="7"/>
  <c r="G30" i="7"/>
  <c r="G29" i="7"/>
  <c r="J28" i="7"/>
  <c r="H43" i="7" s="1"/>
  <c r="G43" i="7" s="1"/>
  <c r="K27" i="7"/>
  <c r="J27" i="7"/>
  <c r="G27" i="7" s="1"/>
  <c r="I27" i="7"/>
  <c r="H27" i="7"/>
  <c r="G25" i="7"/>
  <c r="K23" i="7"/>
  <c r="J23" i="7"/>
  <c r="I23" i="7"/>
  <c r="H23" i="7"/>
  <c r="G23" i="7" s="1"/>
  <c r="K20" i="7"/>
  <c r="J20" i="7"/>
  <c r="I20" i="7"/>
  <c r="I15" i="7" s="1"/>
  <c r="I50" i="7" s="1"/>
  <c r="H20" i="7"/>
  <c r="G20" i="7" s="1"/>
  <c r="K17" i="7"/>
  <c r="K15" i="7" s="1"/>
  <c r="J17" i="7"/>
  <c r="G17" i="7" s="1"/>
  <c r="I17" i="7"/>
  <c r="H17" i="7"/>
  <c r="G16" i="7"/>
  <c r="H15" i="7"/>
  <c r="D9" i="7"/>
  <c r="K46" i="7" l="1"/>
  <c r="H52" i="7"/>
  <c r="G46" i="7"/>
  <c r="K49" i="7"/>
  <c r="G49" i="7" s="1"/>
  <c r="K120" i="7"/>
  <c r="K143" i="7"/>
  <c r="K142" i="7" s="1"/>
  <c r="G121" i="7"/>
  <c r="G143" i="7"/>
  <c r="G120" i="7"/>
  <c r="G109" i="7"/>
  <c r="K33" i="7"/>
  <c r="K50" i="7" s="1"/>
  <c r="H80" i="7"/>
  <c r="J15" i="7"/>
  <c r="J50" i="7" s="1"/>
  <c r="G28" i="7"/>
  <c r="H50" i="7"/>
  <c r="H102" i="7"/>
  <c r="H133" i="7"/>
  <c r="J65" i="7"/>
  <c r="J62" i="7"/>
  <c r="J60" i="7" s="1"/>
  <c r="J52" i="7" s="1"/>
  <c r="J142" i="7"/>
  <c r="G142" i="7" s="1"/>
  <c r="H60" i="7"/>
  <c r="H100" i="7" l="1"/>
  <c r="G102" i="7"/>
  <c r="G50" i="7"/>
  <c r="G62" i="7"/>
  <c r="K83" i="7" s="1"/>
  <c r="H87" i="7"/>
  <c r="G52" i="7"/>
  <c r="G65" i="7"/>
  <c r="J64" i="7"/>
  <c r="G33" i="7"/>
  <c r="G60" i="7"/>
  <c r="G133" i="7"/>
  <c r="H132" i="7"/>
  <c r="G132" i="7" s="1"/>
  <c r="G15" i="7"/>
  <c r="K67" i="7" l="1"/>
  <c r="K86" i="7"/>
  <c r="G86" i="7" s="1"/>
  <c r="G83" i="7"/>
  <c r="G100" i="7"/>
  <c r="H99" i="7"/>
  <c r="G99" i="7" s="1"/>
  <c r="J80" i="7" l="1"/>
  <c r="G67" i="7"/>
  <c r="K64" i="7"/>
  <c r="K87" i="7" l="1"/>
  <c r="G64" i="7"/>
  <c r="G80" i="7"/>
  <c r="J87" i="7"/>
  <c r="G87" i="7" s="1"/>
</calcChain>
</file>

<file path=xl/sharedStrings.xml><?xml version="1.0" encoding="utf-8"?>
<sst xmlns="http://schemas.openxmlformats.org/spreadsheetml/2006/main" count="6881" uniqueCount="344">
  <si>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</si>
  <si>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</si>
  <si>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</si>
  <si>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</si>
  <si>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</si>
  <si>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</si>
  <si>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</si>
  <si>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</si>
  <si>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</si>
  <si>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</si>
  <si>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</si>
  <si>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</si>
  <si>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</si>
  <si>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№ п/п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</si>
  <si>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</si>
  <si>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</si>
  <si>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</si>
  <si>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</si>
  <si>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</si>
  <si>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</si>
  <si>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</si>
  <si>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</si>
  <si>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</si>
  <si>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</si>
  <si>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</si>
  <si>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</si>
  <si>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</si>
  <si>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</si>
  <si>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</si>
  <si>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</si>
  <si>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</si>
  <si>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</si>
  <si>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</si>
  <si>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</si>
  <si>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</si>
  <si>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</si>
  <si>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</si>
  <si>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</si>
  <si>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</si>
  <si>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</si>
  <si>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О</t>
  </si>
  <si>
    <t>1.4.1</t>
  </si>
  <si>
    <t>ПАО "Московская объединенная электросетевая компания"</t>
  </si>
  <si>
    <t>5036065113</t>
  </si>
  <si>
    <t>997450001</t>
  </si>
  <si>
    <t>26506648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</si>
  <si>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</si>
  <si>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</si>
  <si>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</si>
  <si>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</si>
  <si>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</si>
  <si>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</si>
  <si>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</si>
  <si>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</si>
  <si>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</si>
  <si>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</si>
  <si>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</si>
  <si>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</si>
  <si>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</si>
  <si>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</si>
  <si>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</si>
  <si>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</si>
  <si>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</si>
  <si>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</si>
  <si>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</si>
  <si>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</si>
  <si>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</si>
  <si>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</si>
  <si>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</si>
  <si>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</si>
  <si>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</si>
  <si>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</si>
  <si>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</si>
  <si>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</si>
  <si>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</si>
  <si>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</si>
  <si>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</si>
  <si>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</si>
  <si>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</si>
  <si>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</si>
  <si>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</si>
  <si>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</si>
  <si>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4.4</t>
  </si>
  <si>
    <t>населению и приравненным к нему категориям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</si>
  <si>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</si>
  <si>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</si>
  <si>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</si>
  <si>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</si>
  <si>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</si>
  <si>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</si>
  <si>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</si>
  <si>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</si>
  <si>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</si>
  <si>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</si>
  <si>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</si>
  <si>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</si>
  <si>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</si>
  <si>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</si>
  <si>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</si>
  <si>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</si>
  <si>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</si>
  <si>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</si>
  <si>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</si>
  <si>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</si>
  <si>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</si>
  <si>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</si>
  <si>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</si>
  <si>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Небаланс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</si>
  <si>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</si>
  <si>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</si>
  <si>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</si>
  <si>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</si>
  <si>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</si>
  <si>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</si>
  <si>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</si>
  <si>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</si>
  <si>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</si>
  <si>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12.3</t>
  </si>
  <si>
    <t>1260</t>
  </si>
  <si>
    <t>12.3.0</t>
  </si>
  <si>
    <t>12.4</t>
  </si>
  <si>
    <t>1460</t>
  </si>
  <si>
    <t>12.4.0</t>
  </si>
  <si>
    <t>12.4.1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</si>
  <si>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</si>
  <si>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</si>
  <si>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</si>
  <si>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</si>
  <si>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</si>
  <si>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</si>
  <si>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</si>
  <si>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</si>
  <si>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</si>
  <si>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</si>
  <si>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</si>
  <si>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</si>
  <si>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</si>
  <si>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</si>
  <si>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</si>
  <si>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</si>
  <si>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</si>
  <si>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</si>
  <si>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</si>
  <si>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</si>
  <si>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</si>
  <si>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</si>
  <si>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</si>
  <si>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</si>
  <si>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</si>
  <si>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</si>
  <si>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</si>
  <si>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</si>
  <si>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</si>
  <si>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</si>
  <si>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</si>
  <si>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</si>
  <si>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</si>
  <si>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</si>
  <si>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</si>
  <si>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</si>
  <si>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</si>
  <si>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</si>
  <si>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</si>
  <si>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</si>
  <si>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</si>
  <si>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</si>
  <si>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</si>
  <si>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</si>
  <si>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</si>
  <si>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</si>
  <si>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</si>
  <si>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</si>
  <si>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</si>
  <si>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</si>
  <si>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</si>
  <si>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</si>
  <si>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</si>
  <si>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</si>
  <si>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</si>
  <si>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</si>
  <si>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</si>
  <si>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</si>
  <si>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</si>
  <si>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</si>
  <si>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</si>
  <si>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</si>
  <si>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</si>
  <si>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</si>
  <si>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</si>
  <si>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</si>
  <si>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</si>
  <si>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</si>
  <si>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</si>
  <si>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</si>
  <si>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</si>
  <si>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</si>
  <si>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</si>
  <si>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</si>
  <si>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</si>
  <si>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</si>
  <si>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</si>
  <si>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</si>
  <si>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</si>
  <si>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</si>
  <si>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</si>
  <si>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</si>
  <si>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</si>
  <si>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</si>
  <si>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</si>
  <si>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</si>
  <si>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</si>
  <si>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</si>
  <si>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</si>
  <si>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</si>
  <si>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</si>
  <si>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</si>
  <si>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</si>
  <si>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</si>
  <si>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</si>
  <si>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</si>
  <si>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</si>
  <si>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</si>
  <si>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</si>
  <si>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</si>
  <si>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</si>
  <si>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</si>
  <si>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</si>
  <si>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</si>
  <si>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</si>
  <si>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</si>
  <si>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</si>
  <si>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</si>
  <si>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</si>
  <si>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</si>
  <si>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</si>
  <si>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</si>
  <si>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</si>
  <si>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</si>
  <si>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</si>
  <si>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</si>
  <si>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</si>
  <si>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</si>
  <si>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</si>
  <si>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</si>
  <si>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</si>
  <si>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</si>
  <si>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</si>
  <si>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</si>
  <si>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</si>
  <si>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</si>
  <si>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</si>
  <si>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</si>
  <si>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</si>
  <si>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</si>
  <si>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</si>
  <si>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</si>
  <si>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</si>
  <si>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</si>
  <si>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</si>
  <si>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</si>
  <si>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</si>
  <si>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</si>
  <si>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</si>
  <si>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</si>
  <si>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</si>
  <si>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</si>
  <si>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</si>
  <si>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</si>
  <si>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</si>
  <si>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</si>
  <si>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</si>
  <si>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</si>
  <si>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</si>
  <si>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</si>
  <si>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</si>
  <si>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</si>
  <si>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</si>
  <si>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</si>
  <si>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</si>
  <si>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</si>
  <si>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</si>
  <si>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</si>
  <si>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</si>
  <si>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компенсация потерь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</si>
  <si>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</si>
  <si>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</si>
  <si>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</si>
  <si>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</si>
  <si>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</si>
  <si>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</si>
  <si>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</si>
  <si>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</si>
  <si>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</si>
  <si>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</si>
  <si>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</si>
  <si>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</si>
  <si>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</si>
  <si>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</si>
  <si>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</si>
  <si>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</si>
  <si>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</si>
  <si>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</si>
  <si>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</si>
  <si>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</si>
  <si>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</si>
  <si>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</si>
  <si>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</si>
  <si>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</si>
  <si>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</si>
  <si>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</si>
  <si>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</si>
  <si>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</si>
  <si>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</si>
  <si>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</si>
  <si>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мощность</t>
  </si>
  <si>
    <t>2610</t>
  </si>
  <si>
    <t>920</t>
  </si>
  <si>
    <t>31.2.2</t>
  </si>
  <si>
    <t>2620</t>
  </si>
  <si>
    <t>910</t>
  </si>
  <si>
    <t>Должностное лицо, ответственное за</t>
  </si>
  <si>
    <t>предоставление статистической информации</t>
  </si>
  <si>
    <t>(должность)</t>
  </si>
  <si>
    <t>(Ф.И.О.)</t>
  </si>
  <si>
    <t>(подпись)</t>
  </si>
  <si>
    <t>(лицо, уполномоченное предоставлять</t>
  </si>
  <si>
    <t>статистическую информацию от имени</t>
  </si>
  <si>
    <t>«____» _________20__ год</t>
  </si>
  <si>
    <t>юридического лица)</t>
  </si>
  <si>
    <t>(номер контактного телефона)</t>
  </si>
  <si>
    <t>(дата составления документа)</t>
  </si>
  <si>
    <t xml:space="preserve"> январь 2019</t>
  </si>
  <si>
    <t xml:space="preserve"> февраль 2019</t>
  </si>
  <si>
    <t xml:space="preserve"> март 2019</t>
  </si>
  <si>
    <t xml:space="preserve"> апрель 2019</t>
  </si>
  <si>
    <t xml:space="preserve"> май 2019</t>
  </si>
  <si>
    <t xml:space="preserve"> июнь 2019</t>
  </si>
  <si>
    <t xml:space="preserve"> июль 2019</t>
  </si>
  <si>
    <t xml:space="preserve"> август 2019</t>
  </si>
  <si>
    <t xml:space="preserve"> сентябрь 2019</t>
  </si>
  <si>
    <t xml:space="preserve"> октябрь 2019</t>
  </si>
  <si>
    <t xml:space="preserve"> ноябрь 2019</t>
  </si>
  <si>
    <t xml:space="preserve"> декабрь 2019</t>
  </si>
  <si>
    <t xml:space="preserve">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</si>
</sst>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9"/>
      <color indexed="23"/>
      <name val="Tahoma"/>
      <family val="2"/>
      <charset val="204"/>
    </font>
    <font>
      <sz val="10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1"/>
      <color indexed="22"/>
      <name val="Wingdings 2"/>
      <family val="1"/>
      <charset val="2"/>
    </font>
    <font>
      <sz val="10"/>
      <color theme="0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horizontal="left" vertical="center" indent="1"/>
    </xf>
    <xf numFmtId="0" fontId="2" fillId="0" borderId="0" xfId="1" applyNumberFormat="1" applyFont="1" applyAlignment="1" applyProtection="1">
      <alignment vertical="center"/>
    </xf>
    <xf numFmtId="0" fontId="2" fillId="0" borderId="0" xfId="2" applyFont="1" applyAlignment="1" applyProtection="1">
      <alignment vertical="center"/>
    </xf>
    <xf numFmtId="49" fontId="2" fillId="0" borderId="0" xfId="1" applyNumberFormat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right"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2" fillId="0" borderId="2" xfId="3" applyFont="1" applyFill="1" applyBorder="1" applyAlignment="1" applyProtection="1">
      <alignment horizontal="left" vertical="center"/>
    </xf>
    <xf numFmtId="0" fontId="2" fillId="0" borderId="1" xfId="1" applyFont="1" applyBorder="1" applyAlignment="1" applyProtection="1">
      <alignment vertical="center"/>
    </xf>
    <xf numFmtId="49" fontId="2" fillId="0" borderId="0" xfId="4" applyFont="1" applyBorder="1" applyAlignment="1">
      <alignment horizontal="right" vertical="center"/>
    </xf>
    <xf numFmtId="0" fontId="2" fillId="0" borderId="5" xfId="1" applyFont="1" applyBorder="1" applyAlignment="1" applyProtection="1">
      <alignment vertical="center"/>
    </xf>
    <xf numFmtId="0" fontId="2" fillId="0" borderId="7" xfId="5" applyFont="1" applyBorder="1" applyAlignment="1" applyProtection="1">
      <alignment horizontal="center" vertical="center" wrapText="1"/>
    </xf>
    <xf numFmtId="0" fontId="2" fillId="0" borderId="8" xfId="5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49" fontId="2" fillId="0" borderId="0" xfId="4" applyFont="1" applyAlignment="1" applyProtection="1">
      <alignment vertical="center"/>
    </xf>
    <xf numFmtId="49" fontId="2" fillId="0" borderId="0" xfId="4" applyFont="1" applyBorder="1" applyAlignment="1" applyProtection="1">
      <alignment vertical="center"/>
    </xf>
    <xf numFmtId="49" fontId="2" fillId="0" borderId="5" xfId="4" applyFont="1" applyBorder="1" applyAlignment="1" applyProtection="1">
      <alignment vertical="center"/>
    </xf>
    <xf numFmtId="49" fontId="2" fillId="0" borderId="8" xfId="4" applyNumberFormat="1" applyFont="1" applyBorder="1" applyAlignment="1" applyProtection="1">
      <alignment vertical="center"/>
    </xf>
    <xf numFmtId="49" fontId="2" fillId="3" borderId="4" xfId="4" applyFont="1" applyFill="1" applyBorder="1" applyAlignment="1">
      <alignment vertical="center" wrapText="1"/>
    </xf>
    <xf numFmtId="49" fontId="2" fillId="0" borderId="4" xfId="4" applyFont="1" applyBorder="1" applyAlignment="1">
      <alignment horizontal="center" vertical="center" wrapText="1"/>
    </xf>
    <xf numFmtId="164" fontId="2" fillId="4" borderId="4" xfId="4" applyNumberFormat="1" applyFont="1" applyFill="1" applyBorder="1" applyAlignment="1" applyProtection="1">
      <alignment horizontal="right" vertical="center"/>
    </xf>
    <xf numFmtId="0" fontId="7" fillId="0" borderId="0" xfId="1" applyFont="1" applyProtection="1"/>
    <xf numFmtId="49" fontId="8" fillId="0" borderId="0" xfId="4" applyFont="1" applyBorder="1" applyAlignment="1">
      <alignment horizontal="center" vertical="center" wrapText="1"/>
    </xf>
    <xf numFmtId="49" fontId="2" fillId="0" borderId="4" xfId="4" applyFont="1" applyBorder="1" applyAlignment="1">
      <alignment horizontal="left" vertical="center" wrapText="1" indent="1"/>
    </xf>
    <xf numFmtId="164" fontId="2" fillId="5" borderId="4" xfId="4" applyNumberFormat="1" applyFont="1" applyFill="1" applyBorder="1" applyAlignment="1" applyProtection="1">
      <alignment horizontal="right" vertical="center"/>
      <protection locked="0"/>
    </xf>
    <xf numFmtId="49" fontId="8" fillId="0" borderId="7" xfId="4" applyNumberFormat="1" applyFont="1" applyBorder="1" applyAlignment="1" applyProtection="1">
      <alignment vertical="center"/>
    </xf>
    <xf numFmtId="49" fontId="2" fillId="0" borderId="1" xfId="4" applyFont="1" applyFill="1" applyBorder="1" applyAlignment="1" applyProtection="1">
      <alignment horizontal="left" vertical="center" wrapText="1" indent="1"/>
    </xf>
    <xf numFmtId="49" fontId="8" fillId="0" borderId="1" xfId="4" applyFont="1" applyFill="1" applyBorder="1" applyAlignment="1" applyProtection="1">
      <alignment horizontal="center" vertical="center" wrapText="1"/>
    </xf>
    <xf numFmtId="165" fontId="2" fillId="0" borderId="1" xfId="4" applyNumberFormat="1" applyFont="1" applyFill="1" applyBorder="1" applyAlignment="1" applyProtection="1">
      <alignment horizontal="right" vertical="center"/>
    </xf>
    <xf numFmtId="49" fontId="9" fillId="6" borderId="7" xfId="0" applyNumberFormat="1" applyFont="1" applyFill="1" applyBorder="1" applyAlignment="1" applyProtection="1">
      <alignment horizontal="center" vertical="top"/>
    </xf>
    <xf numFmtId="0" fontId="9" fillId="6" borderId="9" xfId="0" applyFont="1" applyFill="1" applyBorder="1" applyAlignment="1" applyProtection="1">
      <alignment horizontal="left" vertical="center" indent="1"/>
    </xf>
    <xf numFmtId="0" fontId="9" fillId="6" borderId="9" xfId="0" applyFont="1" applyFill="1" applyBorder="1" applyAlignment="1" applyProtection="1">
      <alignment horizontal="center" vertical="top"/>
    </xf>
    <xf numFmtId="0" fontId="9" fillId="6" borderId="10" xfId="0" applyFont="1" applyFill="1" applyBorder="1" applyAlignment="1" applyProtection="1">
      <alignment horizontal="center" vertical="top"/>
    </xf>
    <xf numFmtId="49" fontId="8" fillId="0" borderId="0" xfId="4" applyFont="1" applyBorder="1" applyAlignment="1" applyProtection="1">
      <alignment vertical="center"/>
    </xf>
    <xf numFmtId="0" fontId="10" fillId="7" borderId="0" xfId="6" applyFont="1" applyFill="1" applyBorder="1" applyAlignment="1" applyProtection="1">
      <alignment horizontal="center" vertical="center" wrapText="1"/>
    </xf>
    <xf numFmtId="0" fontId="2" fillId="7" borderId="7" xfId="6" applyFont="1" applyFill="1" applyBorder="1" applyAlignment="1" applyProtection="1">
      <alignment horizontal="left" vertical="center"/>
    </xf>
    <xf numFmtId="0" fontId="0" fillId="8" borderId="8" xfId="7" applyNumberFormat="1" applyFont="1" applyFill="1" applyBorder="1" applyAlignment="1" applyProtection="1">
      <alignment horizontal="left" vertical="center" wrapText="1" indent="2"/>
    </xf>
    <xf numFmtId="0" fontId="2" fillId="0" borderId="7" xfId="4" applyNumberFormat="1" applyFont="1" applyBorder="1" applyAlignment="1">
      <alignment horizontal="center" vertical="center" wrapText="1"/>
    </xf>
    <xf numFmtId="164" fontId="2" fillId="4" borderId="7" xfId="4" applyNumberFormat="1" applyFont="1" applyFill="1" applyBorder="1" applyAlignment="1" applyProtection="1">
      <alignment horizontal="right" vertical="center"/>
    </xf>
    <xf numFmtId="165" fontId="2" fillId="9" borderId="4" xfId="4" applyNumberFormat="1" applyFont="1" applyFill="1" applyBorder="1" applyAlignment="1" applyProtection="1">
      <alignment horizontal="right" vertical="center"/>
      <protection locked="0"/>
    </xf>
    <xf numFmtId="49" fontId="11" fillId="0" borderId="0" xfId="1" applyNumberFormat="1" applyFont="1" applyAlignment="1" applyProtection="1">
      <alignment vertical="center"/>
    </xf>
    <xf numFmtId="49" fontId="8" fillId="0" borderId="0" xfId="4" applyNumberFormat="1" applyFont="1" applyAlignment="1" applyProtection="1">
      <alignment vertical="center"/>
    </xf>
    <xf numFmtId="165" fontId="2" fillId="0" borderId="4" xfId="4" applyNumberFormat="1" applyFont="1" applyFill="1" applyBorder="1" applyAlignment="1" applyProtection="1">
      <alignment horizontal="right" vertical="center"/>
    </xf>
    <xf numFmtId="49" fontId="2" fillId="3" borderId="4" xfId="4" applyFont="1" applyFill="1" applyBorder="1" applyAlignment="1">
      <alignment horizontal="left" vertical="center" wrapText="1"/>
    </xf>
    <xf numFmtId="49" fontId="2" fillId="0" borderId="4" xfId="4" applyFont="1" applyFill="1" applyBorder="1" applyAlignment="1" applyProtection="1">
      <alignment horizontal="center" vertical="center" wrapText="1"/>
    </xf>
    <xf numFmtId="49" fontId="2" fillId="0" borderId="4" xfId="4" applyFont="1" applyBorder="1" applyAlignment="1">
      <alignment horizontal="left" vertical="center" wrapText="1" indent="2"/>
    </xf>
    <xf numFmtId="49" fontId="2" fillId="0" borderId="4" xfId="4" applyFont="1" applyBorder="1" applyAlignment="1">
      <alignment horizontal="left" vertical="center" wrapText="1" indent="3"/>
    </xf>
    <xf numFmtId="0" fontId="9" fillId="6" borderId="7" xfId="0" applyFont="1" applyFill="1" applyBorder="1" applyAlignment="1" applyProtection="1">
      <alignment horizontal="center" vertical="top"/>
    </xf>
    <xf numFmtId="49" fontId="2" fillId="0" borderId="4" xfId="4" applyFont="1" applyFill="1" applyBorder="1" applyAlignment="1" applyProtection="1">
      <alignment horizontal="left" vertical="center" wrapText="1" indent="1"/>
    </xf>
    <xf numFmtId="164" fontId="2" fillId="5" borderId="7" xfId="4" applyNumberFormat="1" applyFont="1" applyFill="1" applyBorder="1" applyAlignment="1" applyProtection="1">
      <alignment horizontal="right" vertical="center"/>
      <protection locked="0"/>
    </xf>
    <xf numFmtId="164" fontId="2" fillId="5" borderId="8" xfId="4" applyNumberFormat="1" applyFont="1" applyFill="1" applyBorder="1" applyAlignment="1" applyProtection="1">
      <alignment horizontal="right" vertical="center"/>
      <protection locked="0"/>
    </xf>
    <xf numFmtId="164" fontId="2" fillId="0" borderId="4" xfId="4" applyNumberFormat="1" applyFont="1" applyFill="1" applyBorder="1" applyAlignment="1" applyProtection="1">
      <alignment horizontal="right" vertical="center"/>
    </xf>
    <xf numFmtId="49" fontId="2" fillId="0" borderId="8" xfId="1" applyNumberFormat="1" applyFont="1" applyBorder="1" applyAlignment="1" applyProtection="1">
      <alignment vertical="center"/>
    </xf>
    <xf numFmtId="164" fontId="2" fillId="5" borderId="4" xfId="1" applyNumberFormat="1" applyFont="1" applyFill="1" applyBorder="1" applyAlignment="1" applyProtection="1">
      <alignment horizontal="right" vertical="center"/>
      <protection locked="0"/>
    </xf>
    <xf numFmtId="164" fontId="2" fillId="4" borderId="4" xfId="1" applyNumberFormat="1" applyFont="1" applyFill="1" applyBorder="1" applyAlignment="1" applyProtection="1">
      <alignment horizontal="right" vertical="center"/>
    </xf>
    <xf numFmtId="164" fontId="2" fillId="4" borderId="4" xfId="8" applyNumberFormat="1" applyFont="1" applyFill="1" applyBorder="1" applyAlignment="1" applyProtection="1">
      <alignment horizontal="right" vertical="center"/>
    </xf>
    <xf numFmtId="49" fontId="2" fillId="0" borderId="4" xfId="4" applyFont="1" applyBorder="1" applyAlignment="1">
      <alignment horizontal="left" vertical="center" wrapText="1" indent="4"/>
    </xf>
    <xf numFmtId="0" fontId="8" fillId="0" borderId="0" xfId="1" applyFont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164" fontId="2" fillId="5" borderId="4" xfId="8" applyNumberFormat="1" applyFont="1" applyFill="1" applyBorder="1" applyAlignment="1" applyProtection="1">
      <alignment horizontal="right" vertical="center"/>
      <protection locked="0"/>
    </xf>
    <xf numFmtId="164" fontId="2" fillId="5" borderId="4" xfId="1" applyNumberFormat="1" applyFont="1" applyFill="1" applyBorder="1" applyAlignment="1" applyProtection="1">
      <alignment horizontal="right" vertical="center" wrapText="1"/>
      <protection locked="0"/>
    </xf>
    <xf numFmtId="164" fontId="2" fillId="4" borderId="4" xfId="1" applyNumberFormat="1" applyFont="1" applyFill="1" applyBorder="1" applyAlignment="1" applyProtection="1">
      <alignment horizontal="right" vertical="center" wrapText="1"/>
    </xf>
    <xf numFmtId="165" fontId="2" fillId="9" borderId="4" xfId="1" applyNumberFormat="1" applyFont="1" applyFill="1" applyBorder="1" applyAlignment="1" applyProtection="1">
      <alignment horizontal="right" vertical="center"/>
      <protection locked="0"/>
    </xf>
    <xf numFmtId="164" fontId="2" fillId="5" borderId="8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Protection="1"/>
    <xf numFmtId="0" fontId="7" fillId="0" borderId="0" xfId="1" applyFont="1" applyBorder="1" applyProtection="1"/>
    <xf numFmtId="0" fontId="7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vertical="center"/>
    </xf>
    <xf numFmtId="0" fontId="7" fillId="0" borderId="0" xfId="1" applyFont="1" applyAlignment="1" applyProtection="1">
      <alignment horizontal="center" vertical="center"/>
    </xf>
    <xf numFmtId="0" fontId="2" fillId="0" borderId="7" xfId="5" applyFont="1" applyBorder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 vertical="center"/>
    </xf>
    <xf numFmtId="0" fontId="7" fillId="0" borderId="11" xfId="1" applyNumberFormat="1" applyFont="1" applyBorder="1" applyAlignment="1" applyProtection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3" fillId="0" borderId="1" xfId="3" applyFont="1" applyFill="1" applyBorder="1" applyAlignment="1" applyProtection="1">
      <alignment horizontal="left" vertical="center" wrapText="1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center" vertical="center" wrapText="1"/>
    </xf>
    <xf numFmtId="0" fontId="2" fillId="0" borderId="4" xfId="5" applyFont="1" applyBorder="1" applyAlignment="1" applyProtection="1">
      <alignment horizontal="center" vertical="center" wrapText="1"/>
    </xf>
    <xf numFmtId="0" fontId="2" fillId="0" borderId="7" xfId="5" applyFont="1" applyBorder="1" applyAlignment="1" applyProtection="1">
      <alignment horizontal="center" vertical="center" wrapText="1"/>
    </xf>
    <xf numFmtId="0" fontId="2" fillId="0" borderId="3" xfId="5" applyFont="1" applyBorder="1" applyAlignment="1" applyProtection="1">
      <alignment horizontal="center" vertical="center" wrapText="1"/>
    </xf>
    <xf numFmtId="49" fontId="2" fillId="2" borderId="7" xfId="4" applyFont="1" applyFill="1" applyBorder="1" applyAlignment="1">
      <alignment horizontal="center" vertical="center"/>
    </xf>
    <xf numFmtId="49" fontId="2" fillId="2" borderId="9" xfId="4" applyFont="1" applyFill="1" applyBorder="1" applyAlignment="1">
      <alignment horizontal="center" vertical="center"/>
    </xf>
    <xf numFmtId="49" fontId="2" fillId="2" borderId="10" xfId="4" applyFont="1" applyFill="1" applyBorder="1" applyAlignment="1">
      <alignment horizontal="center" vertical="center"/>
    </xf>
    <xf numFmtId="17" fontId="3" fillId="0" borderId="0" xfId="1" applyNumberFormat="1" applyFont="1" applyBorder="1" applyAlignment="1" applyProtection="1">
      <alignment horizontal="right"/>
    </xf>
    <xf numFmtId="17" fontId="3" fillId="0" borderId="0" xfId="1" applyNumberFormat="1" applyFont="1" applyBorder="1" applyAlignment="1" applyProtection="1">
      <alignment horizontal="right" vertical="center"/>
    </xf>
  </cellXfs>
  <cellStyles count="9">
    <cellStyle name="Обычный" xfId="0" builtinId="0"/>
    <cellStyle name="Обычный 10" xfId="4"/>
    <cellStyle name="Обычный_MINENERGO.340.PRIL79(v0.1)" xfId="6"/>
    <cellStyle name="Обычный_ЖКУ_проект3" xfId="7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1"/>
    <cellStyle name="Обычный_Продажа" xfId="8"/>
    <cellStyle name="Обычный_Сведения об отпуске (передаче) электроэнергии потребителям распределительными сетевыми организациями" xfId="5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X(v1.0).xls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X(v1.0)_&#1086;&#1082;&#1090;&#1103;&#1073;&#1088;&#1100;.xlsb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X(v1.0)_&#1085;&#1086;&#1103;&#1073;&#1088;&#1100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X(v1.0)_&#1103;&#1085;&#1074;&#1072;&#1088;&#1100;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X(v1.0)_&#1092;&#1077;&#1074;&#1088;&#1072;&#1083;&#1100;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X(v1.0)_&#1084;&#1072;&#1088;&#1090;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X(v1.0)_&#1072;&#1087;&#1088;&#1077;&#1083;&#1100;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X(v1.0)_&#1084;&#1072;&#1081;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X(v1.0)_&#1080;&#1102;&#1083;&#1100;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X(v1.0)_&#1072;&#1074;&#1075;&#1091;&#1089;&#1090;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46EP.STX(v1.0)_&#1089;&#1077;&#1085;&#1090;&#1103;&#1073;&#1088;&#110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15">
          <cell r="G15" t="str">
            <v>ЗАО "Коттон Вэй"</v>
          </cell>
        </row>
        <row r="44">
          <cell r="G44" t="str">
            <v>Байков Алексей Александрович</v>
          </cell>
        </row>
        <row r="45">
          <cell r="G45" t="str">
            <v>Коммерческий директор</v>
          </cell>
        </row>
        <row r="46">
          <cell r="G46" t="str">
            <v>(495) 637 3220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>
        <row r="44">
          <cell r="G44" t="str">
            <v>Байков Алексей Александрович</v>
          </cell>
        </row>
        <row r="45">
          <cell r="G45" t="str">
            <v>Коммерческий директор</v>
          </cell>
        </row>
        <row r="46">
          <cell r="G46" t="str">
            <v>(495) 637 3220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>
        <row r="44">
          <cell r="G44" t="str">
            <v>Байков Алексей Александрович</v>
          </cell>
        </row>
        <row r="45">
          <cell r="G45" t="str">
            <v>Коммерческий директор</v>
          </cell>
        </row>
        <row r="46">
          <cell r="G46" t="str">
            <v>(495) 637 3220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44">
          <cell r="G44" t="str">
            <v>Байков Алексей Александрович</v>
          </cell>
        </row>
        <row r="45">
          <cell r="G45" t="str">
            <v>Коммерческий директор</v>
          </cell>
        </row>
        <row r="46">
          <cell r="G46" t="str">
            <v>(495) 637 3220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44">
          <cell r="G44" t="str">
            <v>Байков Алексей Александрович</v>
          </cell>
        </row>
        <row r="45">
          <cell r="G45" t="str">
            <v>Коммерческий директор</v>
          </cell>
        </row>
        <row r="46">
          <cell r="G46" t="str">
            <v>(495) 637 3220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44">
          <cell r="G44" t="str">
            <v>Байков Алексей Александрович</v>
          </cell>
        </row>
        <row r="45">
          <cell r="G45" t="str">
            <v>Коммерческий директор</v>
          </cell>
        </row>
        <row r="46">
          <cell r="G46" t="str">
            <v>(495) 637 3220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44">
          <cell r="G44" t="str">
            <v>Байков Алексей Александрович</v>
          </cell>
        </row>
        <row r="45">
          <cell r="G45" t="str">
            <v>Коммерческий директор</v>
          </cell>
        </row>
        <row r="46">
          <cell r="G46" t="str">
            <v>(495) 637 3220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44">
          <cell r="G44" t="str">
            <v>Байков Алексей Александрович</v>
          </cell>
        </row>
        <row r="45">
          <cell r="G45" t="str">
            <v>Коммерческий директор</v>
          </cell>
        </row>
        <row r="46">
          <cell r="G46" t="str">
            <v>(495) 637 3220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>
        <row r="44">
          <cell r="G44" t="str">
            <v>Байков Алексей Александрович</v>
          </cell>
        </row>
        <row r="45">
          <cell r="G45" t="str">
            <v>Коммерческий директор</v>
          </cell>
        </row>
        <row r="46">
          <cell r="G46" t="str">
            <v>(495) 637 3220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>
        <row r="44">
          <cell r="G44" t="str">
            <v>Байков Алексей Александрович</v>
          </cell>
        </row>
        <row r="45">
          <cell r="G45" t="str">
            <v>Коммерческий директор</v>
          </cell>
        </row>
        <row r="46">
          <cell r="G46" t="str">
            <v>(495) 637 3220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>
        <row r="44">
          <cell r="G44" t="str">
            <v>Байков Алексей Александрович</v>
          </cell>
        </row>
        <row r="45">
          <cell r="G45" t="str">
            <v>Коммерческий директор</v>
          </cell>
        </row>
        <row r="46">
          <cell r="G46" t="str">
            <v>(495) 637 3220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Y181"/>
  <sheetViews>
    <sheetView view="pageBreakPreview" topLeftCell="C7" zoomScaleNormal="100" zoomScaleSheetLayoutView="100" workbookViewId="0">
      <selection activeCell="K8" sqref="K8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idden="1" x14ac:dyDescent="0.25">
      <c r="S1" s="2"/>
      <c r="T1" s="2"/>
      <c r="U1" s="2"/>
      <c r="V1" s="2"/>
      <c r="Y1" s="2"/>
      <c r="AN1" s="2"/>
      <c r="AO1" s="2"/>
      <c r="AP1" s="2"/>
      <c r="BC1" s="2"/>
      <c r="BF1" s="2"/>
      <c r="BI1" s="2"/>
      <c r="BJ1" s="2"/>
      <c r="BX1" s="2"/>
      <c r="BY1" s="2"/>
    </row>
    <row r="2" spans="1:77" hidden="1" x14ac:dyDescent="0.25"/>
    <row r="3" spans="1:77" hidden="1" x14ac:dyDescent="0.25"/>
    <row r="4" spans="1:77" hidden="1" x14ac:dyDescent="0.2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idden="1" x14ac:dyDescent="0.2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idden="1" x14ac:dyDescent="0.25">
      <c r="A6" s="5"/>
    </row>
    <row r="7" spans="1:77" ht="12" customHeight="1" x14ac:dyDescent="0.15">
      <c r="A7" s="5"/>
      <c r="D7" s="6"/>
      <c r="E7" s="6"/>
      <c r="F7" s="6"/>
      <c r="G7" s="6"/>
      <c r="H7" s="6"/>
      <c r="I7" s="6"/>
      <c r="J7" s="6"/>
      <c r="K7" s="90" t="s">
        <v>331</v>
      </c>
      <c r="Q7" s="8"/>
    </row>
    <row r="8" spans="1:77" ht="22.5" customHeight="1" x14ac:dyDescent="0.25">
      <c r="A8" s="5"/>
      <c r="D8" s="81" t="s">
        <v>11</v>
      </c>
      <c r="E8" s="8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77" x14ac:dyDescent="0.25">
      <c r="A9" s="5"/>
      <c r="D9" s="10" t="str">
        <f>IF(org="","Не определено",org)</f>
        <v>ЗАО "Коттон Вэй"</v>
      </c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77" ht="12" customHeight="1" x14ac:dyDescent="0.25">
      <c r="D10" s="11"/>
      <c r="E10" s="11"/>
      <c r="F10" s="6"/>
      <c r="G10" s="6"/>
      <c r="H10" s="6"/>
      <c r="I10" s="6"/>
      <c r="K10" s="12" t="s">
        <v>12</v>
      </c>
    </row>
    <row r="11" spans="1:77" ht="15" customHeight="1" x14ac:dyDescent="0.25">
      <c r="C11" s="6"/>
      <c r="D11" s="82" t="s">
        <v>13</v>
      </c>
      <c r="E11" s="84" t="s">
        <v>14</v>
      </c>
      <c r="F11" s="84" t="s">
        <v>15</v>
      </c>
      <c r="G11" s="84" t="s">
        <v>16</v>
      </c>
      <c r="H11" s="84" t="s">
        <v>17</v>
      </c>
      <c r="I11" s="84"/>
      <c r="J11" s="84"/>
      <c r="K11" s="86"/>
      <c r="L11" s="13"/>
    </row>
    <row r="12" spans="1:77" ht="15" customHeight="1" x14ac:dyDescent="0.25">
      <c r="C12" s="6"/>
      <c r="D12" s="83"/>
      <c r="E12" s="85"/>
      <c r="F12" s="85"/>
      <c r="G12" s="85"/>
      <c r="H12" s="14" t="s">
        <v>18</v>
      </c>
      <c r="I12" s="14" t="s">
        <v>19</v>
      </c>
      <c r="J12" s="14" t="s">
        <v>20</v>
      </c>
      <c r="K12" s="15" t="s">
        <v>21</v>
      </c>
      <c r="L12" s="13"/>
    </row>
    <row r="13" spans="1:77" ht="12" customHeight="1" x14ac:dyDescent="0.25">
      <c r="D13" s="16">
        <v>0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</row>
    <row r="14" spans="1:77" s="17" customFormat="1" ht="15" customHeight="1" x14ac:dyDescent="0.25">
      <c r="C14" s="18"/>
      <c r="D14" s="87" t="s">
        <v>22</v>
      </c>
      <c r="E14" s="88"/>
      <c r="F14" s="88"/>
      <c r="G14" s="88"/>
      <c r="H14" s="88"/>
      <c r="I14" s="88"/>
      <c r="J14" s="88"/>
      <c r="K14" s="89"/>
      <c r="L14" s="19"/>
    </row>
    <row r="15" spans="1:77" s="17" customFormat="1" ht="15" customHeight="1" x14ac:dyDescent="0.2">
      <c r="C15" s="18"/>
      <c r="D15" s="20" t="s">
        <v>23</v>
      </c>
      <c r="E15" s="21" t="s">
        <v>24</v>
      </c>
      <c r="F15" s="22">
        <v>10</v>
      </c>
      <c r="G15" s="23">
        <f>SUM(H15:K15)</f>
        <v>2817.2120000000004</v>
      </c>
      <c r="H15" s="23">
        <f>H16+H17+H20+H23</f>
        <v>2214.6660000000002</v>
      </c>
      <c r="I15" s="23">
        <f>I16+I17+I20+I23</f>
        <v>0</v>
      </c>
      <c r="J15" s="23">
        <f>J16+J17+J20+J23</f>
        <v>602.54600000000005</v>
      </c>
      <c r="K15" s="23">
        <f>K16+K17+K20+K23</f>
        <v>0</v>
      </c>
      <c r="L15" s="19"/>
      <c r="M15" s="24"/>
      <c r="P15" s="25">
        <v>10</v>
      </c>
    </row>
    <row r="16" spans="1:77" s="17" customFormat="1" ht="15" customHeight="1" x14ac:dyDescent="0.2">
      <c r="C16" s="18"/>
      <c r="D16" s="20" t="s">
        <v>25</v>
      </c>
      <c r="E16" s="26" t="s">
        <v>26</v>
      </c>
      <c r="F16" s="22">
        <v>20</v>
      </c>
      <c r="G16" s="23">
        <f t="shared" ref="G16:G132" si="0">SUM(H16:K16)</f>
        <v>0</v>
      </c>
      <c r="H16" s="27"/>
      <c r="I16" s="27"/>
      <c r="J16" s="27"/>
      <c r="K16" s="27"/>
      <c r="L16" s="19"/>
      <c r="M16" s="24"/>
      <c r="P16" s="25">
        <v>20</v>
      </c>
    </row>
    <row r="17" spans="3:16" s="17" customFormat="1" ht="12.75" x14ac:dyDescent="0.2">
      <c r="C17" s="18"/>
      <c r="D17" s="20" t="s">
        <v>27</v>
      </c>
      <c r="E17" s="26" t="s">
        <v>28</v>
      </c>
      <c r="F17" s="22">
        <v>30</v>
      </c>
      <c r="G17" s="23">
        <f t="shared" si="0"/>
        <v>0</v>
      </c>
      <c r="H17" s="23">
        <f>SUM(H18:H19)</f>
        <v>0</v>
      </c>
      <c r="I17" s="23">
        <f>SUM(I18:I19)</f>
        <v>0</v>
      </c>
      <c r="J17" s="23">
        <f>SUM(J18:J19)</f>
        <v>0</v>
      </c>
      <c r="K17" s="23">
        <f>SUM(K18:K19)</f>
        <v>0</v>
      </c>
      <c r="L17" s="19"/>
      <c r="M17" s="24"/>
      <c r="P17" s="25">
        <v>30</v>
      </c>
    </row>
    <row r="18" spans="3:16" s="17" customFormat="1" ht="12.75" x14ac:dyDescent="0.2">
      <c r="C18" s="18"/>
      <c r="D18" s="28" t="s">
        <v>29</v>
      </c>
      <c r="E18" s="29"/>
      <c r="F18" s="30" t="s">
        <v>30</v>
      </c>
      <c r="G18" s="31"/>
      <c r="H18" s="31"/>
      <c r="I18" s="31"/>
      <c r="J18" s="31"/>
      <c r="K18" s="31"/>
      <c r="L18" s="19"/>
      <c r="M18" s="24"/>
      <c r="P18" s="25"/>
    </row>
    <row r="19" spans="3:16" s="17" customFormat="1" ht="12.75" x14ac:dyDescent="0.2">
      <c r="C19" s="18"/>
      <c r="D19" s="32"/>
      <c r="E19" s="33" t="s">
        <v>31</v>
      </c>
      <c r="F19" s="34"/>
      <c r="G19" s="34"/>
      <c r="H19" s="34"/>
      <c r="I19" s="34"/>
      <c r="J19" s="34"/>
      <c r="K19" s="35"/>
      <c r="L19" s="19"/>
      <c r="M19" s="24"/>
      <c r="P19" s="36"/>
    </row>
    <row r="20" spans="3:16" s="17" customFormat="1" ht="12.75" x14ac:dyDescent="0.2">
      <c r="C20" s="18"/>
      <c r="D20" s="20" t="s">
        <v>32</v>
      </c>
      <c r="E20" s="26" t="s">
        <v>33</v>
      </c>
      <c r="F20" s="22" t="s">
        <v>34</v>
      </c>
      <c r="G20" s="23">
        <f t="shared" si="0"/>
        <v>0</v>
      </c>
      <c r="H20" s="23">
        <f>SUM(H21:H22)</f>
        <v>0</v>
      </c>
      <c r="I20" s="23">
        <f>SUM(I21:I22)</f>
        <v>0</v>
      </c>
      <c r="J20" s="23">
        <f>SUM(J21:J22)</f>
        <v>0</v>
      </c>
      <c r="K20" s="23">
        <f>SUM(K21:K22)</f>
        <v>0</v>
      </c>
      <c r="L20" s="19"/>
      <c r="M20" s="24"/>
      <c r="P20" s="36"/>
    </row>
    <row r="21" spans="3:16" s="17" customFormat="1" ht="12.75" x14ac:dyDescent="0.2">
      <c r="C21" s="18"/>
      <c r="D21" s="28" t="s">
        <v>35</v>
      </c>
      <c r="E21" s="29"/>
      <c r="F21" s="30" t="s">
        <v>34</v>
      </c>
      <c r="G21" s="31"/>
      <c r="H21" s="31"/>
      <c r="I21" s="31"/>
      <c r="J21" s="31"/>
      <c r="K21" s="31"/>
      <c r="L21" s="19"/>
      <c r="M21" s="24"/>
      <c r="P21" s="25"/>
    </row>
    <row r="22" spans="3:16" s="17" customFormat="1" ht="12.75" x14ac:dyDescent="0.2">
      <c r="C22" s="18"/>
      <c r="D22" s="32"/>
      <c r="E22" s="33" t="s">
        <v>31</v>
      </c>
      <c r="F22" s="34"/>
      <c r="G22" s="34"/>
      <c r="H22" s="34"/>
      <c r="I22" s="34"/>
      <c r="J22" s="34"/>
      <c r="K22" s="35"/>
      <c r="L22" s="19"/>
      <c r="M22" s="24"/>
      <c r="P22" s="36"/>
    </row>
    <row r="23" spans="3:16" s="17" customFormat="1" ht="12.75" x14ac:dyDescent="0.2">
      <c r="C23" s="18"/>
      <c r="D23" s="20" t="s">
        <v>36</v>
      </c>
      <c r="E23" s="26" t="s">
        <v>37</v>
      </c>
      <c r="F23" s="22" t="s">
        <v>38</v>
      </c>
      <c r="G23" s="23">
        <f t="shared" si="0"/>
        <v>2817.2120000000004</v>
      </c>
      <c r="H23" s="23">
        <f>SUM(H24:H26)</f>
        <v>2214.6660000000002</v>
      </c>
      <c r="I23" s="23">
        <f>SUM(I24:I26)</f>
        <v>0</v>
      </c>
      <c r="J23" s="23">
        <f>SUM(J24:J26)</f>
        <v>602.54600000000005</v>
      </c>
      <c r="K23" s="23">
        <f>SUM(K24:K26)</f>
        <v>0</v>
      </c>
      <c r="L23" s="19"/>
      <c r="M23" s="24"/>
      <c r="P23" s="25">
        <v>40</v>
      </c>
    </row>
    <row r="24" spans="3:16" s="17" customFormat="1" ht="12.75" x14ac:dyDescent="0.2">
      <c r="C24" s="18"/>
      <c r="D24" s="28" t="s">
        <v>39</v>
      </c>
      <c r="E24" s="29"/>
      <c r="F24" s="30" t="s">
        <v>38</v>
      </c>
      <c r="G24" s="31"/>
      <c r="H24" s="31"/>
      <c r="I24" s="31"/>
      <c r="J24" s="31"/>
      <c r="K24" s="31"/>
      <c r="L24" s="19"/>
      <c r="M24" s="24"/>
      <c r="P24" s="25"/>
    </row>
    <row r="25" spans="3:16" s="17" customFormat="1" ht="15" x14ac:dyDescent="0.25">
      <c r="C25" s="37" t="s">
        <v>40</v>
      </c>
      <c r="D25" s="38" t="s">
        <v>41</v>
      </c>
      <c r="E25" s="39" t="s">
        <v>42</v>
      </c>
      <c r="F25" s="40">
        <v>431</v>
      </c>
      <c r="G25" s="41">
        <f>SUM(H25:K25)</f>
        <v>2817.2120000000004</v>
      </c>
      <c r="H25" s="42">
        <v>2214.6660000000002</v>
      </c>
      <c r="I25" s="42">
        <v>0</v>
      </c>
      <c r="J25" s="42">
        <v>602.54600000000005</v>
      </c>
      <c r="K25" s="42">
        <v>0</v>
      </c>
      <c r="L25" s="19"/>
      <c r="M25" s="43" t="s">
        <v>43</v>
      </c>
      <c r="N25" s="44" t="s">
        <v>44</v>
      </c>
      <c r="O25" s="44" t="s">
        <v>45</v>
      </c>
    </row>
    <row r="26" spans="3:16" s="17" customFormat="1" ht="12.75" x14ac:dyDescent="0.2">
      <c r="C26" s="18"/>
      <c r="D26" s="32"/>
      <c r="E26" s="33" t="s">
        <v>31</v>
      </c>
      <c r="F26" s="34"/>
      <c r="G26" s="34"/>
      <c r="H26" s="34"/>
      <c r="I26" s="34"/>
      <c r="J26" s="34"/>
      <c r="K26" s="35"/>
      <c r="L26" s="19"/>
      <c r="M26" s="24"/>
      <c r="P26" s="25"/>
    </row>
    <row r="27" spans="3:16" s="17" customFormat="1" ht="12.75" x14ac:dyDescent="0.2">
      <c r="C27" s="18"/>
      <c r="D27" s="20" t="s">
        <v>46</v>
      </c>
      <c r="E27" s="21" t="s">
        <v>47</v>
      </c>
      <c r="F27" s="22" t="s">
        <v>48</v>
      </c>
      <c r="G27" s="23">
        <f t="shared" si="0"/>
        <v>4683.9230800000005</v>
      </c>
      <c r="H27" s="23">
        <f>H29+H30+H31</f>
        <v>0</v>
      </c>
      <c r="I27" s="23">
        <f>I28+I30+I31</f>
        <v>0</v>
      </c>
      <c r="J27" s="23">
        <f>J28+J29+J31</f>
        <v>2214.6660000000002</v>
      </c>
      <c r="K27" s="23">
        <f>K28+K29+K30</f>
        <v>2469.2570800000008</v>
      </c>
      <c r="L27" s="19"/>
      <c r="M27" s="24"/>
      <c r="P27" s="25">
        <v>50</v>
      </c>
    </row>
    <row r="28" spans="3:16" s="17" customFormat="1" ht="12.75" x14ac:dyDescent="0.2">
      <c r="C28" s="18"/>
      <c r="D28" s="20" t="s">
        <v>49</v>
      </c>
      <c r="E28" s="26" t="s">
        <v>18</v>
      </c>
      <c r="F28" s="22" t="s">
        <v>50</v>
      </c>
      <c r="G28" s="23">
        <f t="shared" si="0"/>
        <v>2214.6660000000002</v>
      </c>
      <c r="H28" s="45"/>
      <c r="I28" s="27"/>
      <c r="J28" s="27">
        <f>H25</f>
        <v>2214.6660000000002</v>
      </c>
      <c r="K28" s="27"/>
      <c r="L28" s="19"/>
      <c r="M28" s="24"/>
      <c r="P28" s="25">
        <v>60</v>
      </c>
    </row>
    <row r="29" spans="3:16" s="17" customFormat="1" ht="12.75" x14ac:dyDescent="0.2">
      <c r="C29" s="18"/>
      <c r="D29" s="20" t="s">
        <v>51</v>
      </c>
      <c r="E29" s="26" t="s">
        <v>19</v>
      </c>
      <c r="F29" s="22" t="s">
        <v>52</v>
      </c>
      <c r="G29" s="23">
        <f t="shared" si="0"/>
        <v>0</v>
      </c>
      <c r="H29" s="27"/>
      <c r="I29" s="45"/>
      <c r="J29" s="27"/>
      <c r="K29" s="27"/>
      <c r="L29" s="19"/>
      <c r="M29" s="24"/>
      <c r="P29" s="25">
        <v>70</v>
      </c>
    </row>
    <row r="30" spans="3:16" s="17" customFormat="1" ht="12.75" x14ac:dyDescent="0.2">
      <c r="C30" s="18"/>
      <c r="D30" s="20" t="s">
        <v>53</v>
      </c>
      <c r="E30" s="26" t="s">
        <v>20</v>
      </c>
      <c r="F30" s="22" t="s">
        <v>54</v>
      </c>
      <c r="G30" s="23">
        <f t="shared" si="0"/>
        <v>2469.2570800000008</v>
      </c>
      <c r="H30" s="27"/>
      <c r="I30" s="27"/>
      <c r="J30" s="45"/>
      <c r="K30" s="27">
        <f>H25+J25-J36-J46</f>
        <v>2469.2570800000008</v>
      </c>
      <c r="L30" s="19"/>
      <c r="M30" s="24"/>
      <c r="P30" s="25">
        <v>80</v>
      </c>
    </row>
    <row r="31" spans="3:16" s="17" customFormat="1" ht="12.75" x14ac:dyDescent="0.2">
      <c r="C31" s="18"/>
      <c r="D31" s="20" t="s">
        <v>55</v>
      </c>
      <c r="E31" s="26" t="s">
        <v>56</v>
      </c>
      <c r="F31" s="22" t="s">
        <v>57</v>
      </c>
      <c r="G31" s="23">
        <f t="shared" si="0"/>
        <v>0</v>
      </c>
      <c r="H31" s="27"/>
      <c r="I31" s="27"/>
      <c r="J31" s="27"/>
      <c r="K31" s="45"/>
      <c r="L31" s="19"/>
      <c r="M31" s="24"/>
      <c r="P31" s="25">
        <v>90</v>
      </c>
    </row>
    <row r="32" spans="3:16" s="17" customFormat="1" ht="12.75" x14ac:dyDescent="0.2">
      <c r="C32" s="18"/>
      <c r="D32" s="20" t="s">
        <v>58</v>
      </c>
      <c r="E32" s="46" t="s">
        <v>59</v>
      </c>
      <c r="F32" s="22" t="s">
        <v>60</v>
      </c>
      <c r="G32" s="23">
        <f t="shared" si="0"/>
        <v>0</v>
      </c>
      <c r="H32" s="27"/>
      <c r="I32" s="27"/>
      <c r="J32" s="27"/>
      <c r="K32" s="27"/>
      <c r="L32" s="19"/>
      <c r="M32" s="24"/>
      <c r="P32" s="25"/>
    </row>
    <row r="33" spans="3:16" s="17" customFormat="1" ht="12.75" x14ac:dyDescent="0.2">
      <c r="C33" s="18"/>
      <c r="D33" s="20" t="s">
        <v>61</v>
      </c>
      <c r="E33" s="21" t="s">
        <v>62</v>
      </c>
      <c r="F33" s="47" t="s">
        <v>63</v>
      </c>
      <c r="G33" s="23">
        <f t="shared" si="0"/>
        <v>2810.4879999999998</v>
      </c>
      <c r="H33" s="23">
        <f>H34+H36+H39+H42</f>
        <v>0</v>
      </c>
      <c r="I33" s="23">
        <f>I34+I36+I39+I42</f>
        <v>0</v>
      </c>
      <c r="J33" s="23">
        <f>J34+J36+J39+J42</f>
        <v>345.73599999999999</v>
      </c>
      <c r="K33" s="23">
        <f>K34+K36+K39+K42</f>
        <v>2464.752</v>
      </c>
      <c r="L33" s="19"/>
      <c r="M33" s="24"/>
      <c r="P33" s="25">
        <v>100</v>
      </c>
    </row>
    <row r="34" spans="3:16" s="17" customFormat="1" ht="22.5" x14ac:dyDescent="0.2">
      <c r="C34" s="18"/>
      <c r="D34" s="20" t="s">
        <v>64</v>
      </c>
      <c r="E34" s="26" t="s">
        <v>65</v>
      </c>
      <c r="F34" s="22" t="s">
        <v>66</v>
      </c>
      <c r="G34" s="23">
        <f t="shared" si="0"/>
        <v>0</v>
      </c>
      <c r="H34" s="27"/>
      <c r="I34" s="27"/>
      <c r="J34" s="27"/>
      <c r="K34" s="27"/>
      <c r="L34" s="19"/>
      <c r="M34" s="24"/>
      <c r="P34" s="25"/>
    </row>
    <row r="35" spans="3:16" s="17" customFormat="1" ht="12.75" x14ac:dyDescent="0.2">
      <c r="C35" s="18"/>
      <c r="D35" s="20" t="s">
        <v>67</v>
      </c>
      <c r="E35" s="48" t="s">
        <v>68</v>
      </c>
      <c r="F35" s="22" t="s">
        <v>69</v>
      </c>
      <c r="G35" s="23">
        <f t="shared" si="0"/>
        <v>0</v>
      </c>
      <c r="H35" s="27"/>
      <c r="I35" s="27"/>
      <c r="J35" s="27"/>
      <c r="K35" s="27"/>
      <c r="L35" s="19"/>
      <c r="M35" s="24"/>
      <c r="P35" s="25"/>
    </row>
    <row r="36" spans="3:16" s="17" customFormat="1" ht="12.75" x14ac:dyDescent="0.2">
      <c r="C36" s="18"/>
      <c r="D36" s="20" t="s">
        <v>70</v>
      </c>
      <c r="E36" s="26" t="s">
        <v>71</v>
      </c>
      <c r="F36" s="22" t="s">
        <v>72</v>
      </c>
      <c r="G36" s="23">
        <f t="shared" si="0"/>
        <v>2810.4879999999998</v>
      </c>
      <c r="H36" s="27">
        <v>0</v>
      </c>
      <c r="I36" s="27">
        <v>0</v>
      </c>
      <c r="J36" s="27">
        <v>345.73599999999999</v>
      </c>
      <c r="K36" s="27">
        <v>2464.752</v>
      </c>
      <c r="L36" s="19"/>
      <c r="M36" s="24"/>
      <c r="P36" s="25"/>
    </row>
    <row r="37" spans="3:16" s="17" customFormat="1" ht="12.75" x14ac:dyDescent="0.2">
      <c r="C37" s="18"/>
      <c r="D37" s="20" t="s">
        <v>73</v>
      </c>
      <c r="E37" s="48" t="s">
        <v>74</v>
      </c>
      <c r="F37" s="22" t="s">
        <v>75</v>
      </c>
      <c r="G37" s="23">
        <f t="shared" si="0"/>
        <v>0</v>
      </c>
      <c r="H37" s="27"/>
      <c r="I37" s="27"/>
      <c r="J37" s="27"/>
      <c r="K37" s="27"/>
      <c r="L37" s="19"/>
      <c r="M37" s="24"/>
      <c r="P37" s="25"/>
    </row>
    <row r="38" spans="3:16" s="17" customFormat="1" ht="12.75" x14ac:dyDescent="0.2">
      <c r="C38" s="18"/>
      <c r="D38" s="20" t="s">
        <v>76</v>
      </c>
      <c r="E38" s="49" t="s">
        <v>68</v>
      </c>
      <c r="F38" s="22" t="s">
        <v>77</v>
      </c>
      <c r="G38" s="23">
        <f t="shared" si="0"/>
        <v>0</v>
      </c>
      <c r="H38" s="27"/>
      <c r="I38" s="27"/>
      <c r="J38" s="27"/>
      <c r="K38" s="27"/>
      <c r="L38" s="19"/>
      <c r="M38" s="24"/>
      <c r="P38" s="25"/>
    </row>
    <row r="39" spans="3:16" s="17" customFormat="1" ht="12.75" x14ac:dyDescent="0.2">
      <c r="C39" s="18"/>
      <c r="D39" s="20" t="s">
        <v>78</v>
      </c>
      <c r="E39" s="26" t="s">
        <v>79</v>
      </c>
      <c r="F39" s="22" t="s">
        <v>80</v>
      </c>
      <c r="G39" s="23">
        <f t="shared" si="0"/>
        <v>0</v>
      </c>
      <c r="H39" s="23">
        <f>SUM(H40:H41)</f>
        <v>0</v>
      </c>
      <c r="I39" s="23">
        <f>SUM(I40:I41)</f>
        <v>0</v>
      </c>
      <c r="J39" s="23">
        <f>SUM(J40:J41)</f>
        <v>0</v>
      </c>
      <c r="K39" s="23">
        <f>SUM(K40:K41)</f>
        <v>0</v>
      </c>
      <c r="L39" s="19"/>
      <c r="M39" s="24"/>
      <c r="P39" s="25"/>
    </row>
    <row r="40" spans="3:16" s="17" customFormat="1" ht="12.75" x14ac:dyDescent="0.2">
      <c r="C40" s="18"/>
      <c r="D40" s="28" t="s">
        <v>81</v>
      </c>
      <c r="E40" s="29"/>
      <c r="F40" s="30" t="s">
        <v>80</v>
      </c>
      <c r="G40" s="31"/>
      <c r="H40" s="31"/>
      <c r="I40" s="31"/>
      <c r="J40" s="31"/>
      <c r="K40" s="31"/>
      <c r="L40" s="19"/>
      <c r="M40" s="24"/>
      <c r="P40" s="25"/>
    </row>
    <row r="41" spans="3:16" s="17" customFormat="1" ht="12.75" x14ac:dyDescent="0.2">
      <c r="C41" s="18"/>
      <c r="D41" s="50"/>
      <c r="E41" s="33" t="s">
        <v>31</v>
      </c>
      <c r="F41" s="34"/>
      <c r="G41" s="34"/>
      <c r="H41" s="34"/>
      <c r="I41" s="34"/>
      <c r="J41" s="34"/>
      <c r="K41" s="35"/>
      <c r="L41" s="19"/>
      <c r="M41" s="24"/>
      <c r="P41" s="25"/>
    </row>
    <row r="42" spans="3:16" s="17" customFormat="1" ht="12.75" x14ac:dyDescent="0.2">
      <c r="C42" s="18"/>
      <c r="D42" s="20" t="s">
        <v>82</v>
      </c>
      <c r="E42" s="51" t="s">
        <v>83</v>
      </c>
      <c r="F42" s="22" t="s">
        <v>84</v>
      </c>
      <c r="G42" s="23">
        <f t="shared" si="0"/>
        <v>0</v>
      </c>
      <c r="H42" s="27"/>
      <c r="I42" s="27"/>
      <c r="J42" s="27"/>
      <c r="K42" s="27"/>
      <c r="L42" s="19"/>
      <c r="M42" s="24"/>
      <c r="P42" s="25">
        <v>120</v>
      </c>
    </row>
    <row r="43" spans="3:16" s="17" customFormat="1" ht="12.75" x14ac:dyDescent="0.2">
      <c r="C43" s="18"/>
      <c r="D43" s="20" t="s">
        <v>85</v>
      </c>
      <c r="E43" s="21" t="s">
        <v>86</v>
      </c>
      <c r="F43" s="22" t="s">
        <v>87</v>
      </c>
      <c r="G43" s="23">
        <f t="shared" si="0"/>
        <v>4683.9230800000005</v>
      </c>
      <c r="H43" s="27">
        <f>J28</f>
        <v>2214.6660000000002</v>
      </c>
      <c r="I43" s="27"/>
      <c r="J43" s="27">
        <f>K30</f>
        <v>2469.2570800000008</v>
      </c>
      <c r="K43" s="27"/>
      <c r="L43" s="19"/>
      <c r="M43" s="24"/>
      <c r="P43" s="25">
        <v>150</v>
      </c>
    </row>
    <row r="44" spans="3:16" s="17" customFormat="1" ht="12.75" x14ac:dyDescent="0.2">
      <c r="C44" s="18"/>
      <c r="D44" s="20" t="s">
        <v>88</v>
      </c>
      <c r="E44" s="21" t="s">
        <v>89</v>
      </c>
      <c r="F44" s="22" t="s">
        <v>90</v>
      </c>
      <c r="G44" s="23">
        <f t="shared" si="0"/>
        <v>0</v>
      </c>
      <c r="H44" s="27"/>
      <c r="I44" s="27"/>
      <c r="J44" s="27"/>
      <c r="K44" s="27"/>
      <c r="L44" s="19"/>
      <c r="M44" s="24"/>
      <c r="P44" s="25">
        <v>160</v>
      </c>
    </row>
    <row r="45" spans="3:16" s="17" customFormat="1" ht="12.75" x14ac:dyDescent="0.2">
      <c r="C45" s="18"/>
      <c r="D45" s="20" t="s">
        <v>91</v>
      </c>
      <c r="E45" s="21" t="s">
        <v>92</v>
      </c>
      <c r="F45" s="22" t="s">
        <v>93</v>
      </c>
      <c r="G45" s="23">
        <f t="shared" si="0"/>
        <v>0</v>
      </c>
      <c r="H45" s="27"/>
      <c r="I45" s="27"/>
      <c r="J45" s="27"/>
      <c r="K45" s="27"/>
      <c r="L45" s="19"/>
      <c r="M45" s="24"/>
      <c r="P45" s="25">
        <v>180</v>
      </c>
    </row>
    <row r="46" spans="3:16" s="17" customFormat="1" ht="12.75" x14ac:dyDescent="0.2">
      <c r="C46" s="18"/>
      <c r="D46" s="20" t="s">
        <v>94</v>
      </c>
      <c r="E46" s="21" t="s">
        <v>95</v>
      </c>
      <c r="F46" s="22" t="s">
        <v>96</v>
      </c>
      <c r="G46" s="23">
        <f t="shared" si="0"/>
        <v>6.7240000000000002</v>
      </c>
      <c r="H46" s="27"/>
      <c r="I46" s="27"/>
      <c r="J46" s="27">
        <f>(6.724)*0.33</f>
        <v>2.2189200000000002</v>
      </c>
      <c r="K46" s="27">
        <f>(6.724)-J46</f>
        <v>4.5050799999999995</v>
      </c>
      <c r="L46" s="19"/>
      <c r="M46" s="24"/>
      <c r="P46" s="25">
        <v>190</v>
      </c>
    </row>
    <row r="47" spans="3:16" s="17" customFormat="1" ht="12.75" x14ac:dyDescent="0.2">
      <c r="C47" s="18"/>
      <c r="D47" s="20" t="s">
        <v>97</v>
      </c>
      <c r="E47" s="26" t="s">
        <v>98</v>
      </c>
      <c r="F47" s="22" t="s">
        <v>99</v>
      </c>
      <c r="G47" s="23">
        <f t="shared" si="0"/>
        <v>0</v>
      </c>
      <c r="H47" s="27"/>
      <c r="I47" s="27"/>
      <c r="J47" s="27">
        <v>0</v>
      </c>
      <c r="K47" s="27">
        <v>0</v>
      </c>
      <c r="L47" s="19"/>
      <c r="M47" s="24"/>
      <c r="P47" s="25">
        <v>200</v>
      </c>
    </row>
    <row r="48" spans="3:16" s="17" customFormat="1" ht="12.75" x14ac:dyDescent="0.2">
      <c r="C48" s="18"/>
      <c r="D48" s="20" t="s">
        <v>100</v>
      </c>
      <c r="E48" s="21" t="s">
        <v>101</v>
      </c>
      <c r="F48" s="22" t="s">
        <v>102</v>
      </c>
      <c r="G48" s="23">
        <f t="shared" si="0"/>
        <v>132.80000000000001</v>
      </c>
      <c r="H48" s="27"/>
      <c r="I48" s="27"/>
      <c r="J48" s="27"/>
      <c r="K48" s="27">
        <f>0.1328*1000</f>
        <v>132.80000000000001</v>
      </c>
      <c r="L48" s="19"/>
      <c r="M48" s="24"/>
      <c r="P48" s="36"/>
    </row>
    <row r="49" spans="3:16" s="17" customFormat="1" ht="22.5" x14ac:dyDescent="0.2">
      <c r="C49" s="18"/>
      <c r="D49" s="20" t="s">
        <v>103</v>
      </c>
      <c r="E49" s="46" t="s">
        <v>104</v>
      </c>
      <c r="F49" s="22" t="s">
        <v>105</v>
      </c>
      <c r="G49" s="23">
        <f t="shared" si="0"/>
        <v>-126.07600000000002</v>
      </c>
      <c r="H49" s="23">
        <f>H46-H48</f>
        <v>0</v>
      </c>
      <c r="I49" s="23">
        <f>I46-I48</f>
        <v>0</v>
      </c>
      <c r="J49" s="23">
        <f>J46-J48</f>
        <v>2.2189200000000002</v>
      </c>
      <c r="K49" s="23">
        <f>K46-K48</f>
        <v>-128.29492000000002</v>
      </c>
      <c r="L49" s="19"/>
      <c r="M49" s="24"/>
      <c r="P49" s="36"/>
    </row>
    <row r="50" spans="3:16" s="17" customFormat="1" ht="12.75" x14ac:dyDescent="0.2">
      <c r="C50" s="18"/>
      <c r="D50" s="20" t="s">
        <v>106</v>
      </c>
      <c r="E50" s="21" t="s">
        <v>107</v>
      </c>
      <c r="F50" s="22" t="s">
        <v>108</v>
      </c>
      <c r="G50" s="23">
        <f t="shared" si="0"/>
        <v>0</v>
      </c>
      <c r="H50" s="23">
        <f>(H15+H27+H32)-(H33+H43+H44+H45+H46)</f>
        <v>0</v>
      </c>
      <c r="I50" s="23">
        <f>(I15+I27+I32)-(I33+I43+I44+I45+I46)</f>
        <v>0</v>
      </c>
      <c r="J50" s="23">
        <f>(J15+J27+J32)-(J33+J43+J44+J45+J46)</f>
        <v>0</v>
      </c>
      <c r="K50" s="23">
        <f>(K15+K27+K32)-(K33+K43+K44+K45+K46)</f>
        <v>0</v>
      </c>
      <c r="L50" s="19"/>
      <c r="M50" s="24"/>
      <c r="P50" s="25">
        <v>210</v>
      </c>
    </row>
    <row r="51" spans="3:16" s="17" customFormat="1" ht="12.75" x14ac:dyDescent="0.2">
      <c r="C51" s="18"/>
      <c r="D51" s="87" t="s">
        <v>109</v>
      </c>
      <c r="E51" s="88"/>
      <c r="F51" s="88"/>
      <c r="G51" s="88"/>
      <c r="H51" s="88"/>
      <c r="I51" s="88"/>
      <c r="J51" s="88"/>
      <c r="K51" s="89"/>
      <c r="L51" s="19"/>
      <c r="M51" s="24"/>
      <c r="P51" s="36"/>
    </row>
    <row r="52" spans="3:16" s="17" customFormat="1" ht="12.75" x14ac:dyDescent="0.2">
      <c r="C52" s="18"/>
      <c r="D52" s="20" t="s">
        <v>110</v>
      </c>
      <c r="E52" s="21" t="s">
        <v>24</v>
      </c>
      <c r="F52" s="22" t="s">
        <v>111</v>
      </c>
      <c r="G52" s="23">
        <f t="shared" si="0"/>
        <v>5.0819999999999999</v>
      </c>
      <c r="H52" s="23">
        <f>H53+H54+H57+H60</f>
        <v>1.2196799999999999</v>
      </c>
      <c r="I52" s="23">
        <f>I53+I54+I57+I60</f>
        <v>0</v>
      </c>
      <c r="J52" s="23">
        <f>J53+J54+J57+J60</f>
        <v>3.86232</v>
      </c>
      <c r="K52" s="23">
        <f>K53+K54+K57+K60</f>
        <v>0</v>
      </c>
      <c r="L52" s="19"/>
      <c r="M52" s="24"/>
      <c r="P52" s="25">
        <v>300</v>
      </c>
    </row>
    <row r="53" spans="3:16" s="17" customFormat="1" ht="12.75" x14ac:dyDescent="0.2">
      <c r="C53" s="18"/>
      <c r="D53" s="20" t="s">
        <v>112</v>
      </c>
      <c r="E53" s="26" t="s">
        <v>26</v>
      </c>
      <c r="F53" s="22" t="s">
        <v>113</v>
      </c>
      <c r="G53" s="23">
        <f t="shared" si="0"/>
        <v>0</v>
      </c>
      <c r="H53" s="27"/>
      <c r="I53" s="27"/>
      <c r="J53" s="27"/>
      <c r="K53" s="27"/>
      <c r="L53" s="19"/>
      <c r="M53" s="24"/>
      <c r="P53" s="25">
        <v>310</v>
      </c>
    </row>
    <row r="54" spans="3:16" s="17" customFormat="1" ht="12.75" x14ac:dyDescent="0.2">
      <c r="C54" s="18"/>
      <c r="D54" s="20" t="s">
        <v>114</v>
      </c>
      <c r="E54" s="26" t="s">
        <v>28</v>
      </c>
      <c r="F54" s="22" t="s">
        <v>115</v>
      </c>
      <c r="G54" s="23">
        <f t="shared" si="0"/>
        <v>0</v>
      </c>
      <c r="H54" s="23">
        <f>SUM(H55:H56)</f>
        <v>0</v>
      </c>
      <c r="I54" s="23">
        <f>SUM(I55:I56)</f>
        <v>0</v>
      </c>
      <c r="J54" s="23">
        <f>SUM(J55:J56)</f>
        <v>0</v>
      </c>
      <c r="K54" s="23">
        <f>SUM(K55:K56)</f>
        <v>0</v>
      </c>
      <c r="L54" s="19"/>
      <c r="M54" s="24"/>
      <c r="P54" s="25">
        <v>320</v>
      </c>
    </row>
    <row r="55" spans="3:16" s="17" customFormat="1" ht="12.75" x14ac:dyDescent="0.2">
      <c r="C55" s="18"/>
      <c r="D55" s="28" t="s">
        <v>116</v>
      </c>
      <c r="E55" s="29"/>
      <c r="F55" s="30" t="s">
        <v>115</v>
      </c>
      <c r="G55" s="31"/>
      <c r="H55" s="31"/>
      <c r="I55" s="31"/>
      <c r="J55" s="31"/>
      <c r="K55" s="31"/>
      <c r="L55" s="19"/>
      <c r="M55" s="24"/>
      <c r="P55" s="25"/>
    </row>
    <row r="56" spans="3:16" s="17" customFormat="1" ht="12.75" x14ac:dyDescent="0.2">
      <c r="C56" s="18"/>
      <c r="D56" s="32"/>
      <c r="E56" s="33" t="s">
        <v>31</v>
      </c>
      <c r="F56" s="34"/>
      <c r="G56" s="34"/>
      <c r="H56" s="34"/>
      <c r="I56" s="34"/>
      <c r="J56" s="34"/>
      <c r="K56" s="35"/>
      <c r="L56" s="19"/>
      <c r="M56" s="24"/>
      <c r="P56" s="25"/>
    </row>
    <row r="57" spans="3:16" s="17" customFormat="1" ht="12.75" x14ac:dyDescent="0.2">
      <c r="C57" s="18"/>
      <c r="D57" s="20" t="s">
        <v>117</v>
      </c>
      <c r="E57" s="26" t="s">
        <v>33</v>
      </c>
      <c r="F57" s="22" t="s">
        <v>118</v>
      </c>
      <c r="G57" s="23">
        <f t="shared" si="0"/>
        <v>0</v>
      </c>
      <c r="H57" s="23">
        <f>SUM(H58:H59)</f>
        <v>0</v>
      </c>
      <c r="I57" s="23">
        <f>SUM(I58:I59)</f>
        <v>0</v>
      </c>
      <c r="J57" s="23">
        <f>SUM(J58:J59)</f>
        <v>0</v>
      </c>
      <c r="K57" s="23">
        <f>SUM(K58:K59)</f>
        <v>0</v>
      </c>
      <c r="L57" s="19"/>
      <c r="M57" s="24"/>
      <c r="P57" s="25"/>
    </row>
    <row r="58" spans="3:16" s="17" customFormat="1" ht="12.75" x14ac:dyDescent="0.2">
      <c r="C58" s="18"/>
      <c r="D58" s="28" t="s">
        <v>119</v>
      </c>
      <c r="E58" s="29"/>
      <c r="F58" s="30" t="s">
        <v>118</v>
      </c>
      <c r="G58" s="31"/>
      <c r="H58" s="31"/>
      <c r="I58" s="31"/>
      <c r="J58" s="31"/>
      <c r="K58" s="31"/>
      <c r="L58" s="19"/>
      <c r="M58" s="24"/>
      <c r="P58" s="25"/>
    </row>
    <row r="59" spans="3:16" s="17" customFormat="1" ht="12.75" x14ac:dyDescent="0.2">
      <c r="C59" s="18"/>
      <c r="D59" s="32"/>
      <c r="E59" s="33" t="s">
        <v>31</v>
      </c>
      <c r="F59" s="34"/>
      <c r="G59" s="34"/>
      <c r="H59" s="34"/>
      <c r="I59" s="34"/>
      <c r="J59" s="34"/>
      <c r="K59" s="35"/>
      <c r="L59" s="19"/>
      <c r="M59" s="24"/>
      <c r="P59" s="25"/>
    </row>
    <row r="60" spans="3:16" s="17" customFormat="1" ht="12.75" x14ac:dyDescent="0.2">
      <c r="C60" s="18"/>
      <c r="D60" s="20" t="s">
        <v>120</v>
      </c>
      <c r="E60" s="26" t="s">
        <v>37</v>
      </c>
      <c r="F60" s="22" t="s">
        <v>121</v>
      </c>
      <c r="G60" s="23">
        <f t="shared" si="0"/>
        <v>5.0819999999999999</v>
      </c>
      <c r="H60" s="23">
        <f>SUM(H61:H63)</f>
        <v>1.2196799999999999</v>
      </c>
      <c r="I60" s="23">
        <f>SUM(I61:I63)</f>
        <v>0</v>
      </c>
      <c r="J60" s="23">
        <f>SUM(J61:J63)</f>
        <v>3.86232</v>
      </c>
      <c r="K60" s="23">
        <f>SUM(K61:K63)</f>
        <v>0</v>
      </c>
      <c r="L60" s="19"/>
      <c r="M60" s="24"/>
      <c r="P60" s="25">
        <v>330</v>
      </c>
    </row>
    <row r="61" spans="3:16" s="17" customFormat="1" ht="12.75" x14ac:dyDescent="0.2">
      <c r="C61" s="18"/>
      <c r="D61" s="28" t="s">
        <v>122</v>
      </c>
      <c r="E61" s="29"/>
      <c r="F61" s="30" t="s">
        <v>121</v>
      </c>
      <c r="G61" s="31"/>
      <c r="H61" s="31"/>
      <c r="I61" s="31"/>
      <c r="J61" s="31"/>
      <c r="K61" s="31"/>
      <c r="L61" s="19"/>
      <c r="M61" s="24"/>
      <c r="P61" s="25"/>
    </row>
    <row r="62" spans="3:16" s="17" customFormat="1" ht="15" x14ac:dyDescent="0.25">
      <c r="C62" s="37" t="s">
        <v>40</v>
      </c>
      <c r="D62" s="38" t="s">
        <v>123</v>
      </c>
      <c r="E62" s="39" t="s">
        <v>42</v>
      </c>
      <c r="F62" s="40">
        <v>1461</v>
      </c>
      <c r="G62" s="41">
        <f>SUM(H62:K62)</f>
        <v>5.0819999999999999</v>
      </c>
      <c r="H62" s="52">
        <f>5.082*0.24</f>
        <v>1.2196799999999999</v>
      </c>
      <c r="I62" s="52">
        <v>0</v>
      </c>
      <c r="J62" s="52">
        <f>5.082-H62</f>
        <v>3.86232</v>
      </c>
      <c r="K62" s="53">
        <v>0</v>
      </c>
      <c r="L62" s="19"/>
      <c r="M62" s="43" t="s">
        <v>43</v>
      </c>
      <c r="N62" s="44" t="s">
        <v>44</v>
      </c>
      <c r="O62" s="44" t="s">
        <v>45</v>
      </c>
    </row>
    <row r="63" spans="3:16" s="17" customFormat="1" ht="12.75" x14ac:dyDescent="0.2">
      <c r="C63" s="18"/>
      <c r="D63" s="32"/>
      <c r="E63" s="33" t="s">
        <v>31</v>
      </c>
      <c r="F63" s="34"/>
      <c r="G63" s="34"/>
      <c r="H63" s="34"/>
      <c r="I63" s="34"/>
      <c r="J63" s="34"/>
      <c r="K63" s="35"/>
      <c r="L63" s="19"/>
      <c r="M63" s="24"/>
      <c r="P63" s="25"/>
    </row>
    <row r="64" spans="3:16" s="17" customFormat="1" ht="12.75" x14ac:dyDescent="0.2">
      <c r="C64" s="18"/>
      <c r="D64" s="20" t="s">
        <v>124</v>
      </c>
      <c r="E64" s="21" t="s">
        <v>47</v>
      </c>
      <c r="F64" s="22" t="s">
        <v>125</v>
      </c>
      <c r="G64" s="23">
        <f t="shared" si="0"/>
        <v>5.0819999999999999</v>
      </c>
      <c r="H64" s="23">
        <f>H66+H67+H68</f>
        <v>0</v>
      </c>
      <c r="I64" s="23">
        <f>I65+I67+I68</f>
        <v>0</v>
      </c>
      <c r="J64" s="23">
        <f>J65+J66+J68</f>
        <v>1.2196799999999999</v>
      </c>
      <c r="K64" s="23">
        <f>K65+K66+K67</f>
        <v>3.86232</v>
      </c>
      <c r="L64" s="19"/>
      <c r="M64" s="24"/>
      <c r="P64" s="25">
        <v>340</v>
      </c>
    </row>
    <row r="65" spans="3:16" s="17" customFormat="1" ht="12.75" x14ac:dyDescent="0.2">
      <c r="C65" s="18"/>
      <c r="D65" s="20" t="s">
        <v>126</v>
      </c>
      <c r="E65" s="26" t="s">
        <v>18</v>
      </c>
      <c r="F65" s="22" t="s">
        <v>127</v>
      </c>
      <c r="G65" s="23">
        <f t="shared" si="0"/>
        <v>1.2196799999999999</v>
      </c>
      <c r="H65" s="45"/>
      <c r="I65" s="27"/>
      <c r="J65" s="27">
        <f>H62</f>
        <v>1.2196799999999999</v>
      </c>
      <c r="K65" s="27"/>
      <c r="L65" s="19"/>
      <c r="M65" s="24"/>
      <c r="P65" s="25">
        <v>350</v>
      </c>
    </row>
    <row r="66" spans="3:16" s="17" customFormat="1" ht="12.75" x14ac:dyDescent="0.2">
      <c r="C66" s="18"/>
      <c r="D66" s="20" t="s">
        <v>128</v>
      </c>
      <c r="E66" s="26" t="s">
        <v>19</v>
      </c>
      <c r="F66" s="22" t="s">
        <v>129</v>
      </c>
      <c r="G66" s="23">
        <f t="shared" si="0"/>
        <v>0</v>
      </c>
      <c r="H66" s="27"/>
      <c r="I66" s="54"/>
      <c r="J66" s="27"/>
      <c r="K66" s="27"/>
      <c r="L66" s="19"/>
      <c r="M66" s="24"/>
      <c r="P66" s="25">
        <v>360</v>
      </c>
    </row>
    <row r="67" spans="3:16" s="17" customFormat="1" ht="12.75" x14ac:dyDescent="0.2">
      <c r="C67" s="18"/>
      <c r="D67" s="20" t="s">
        <v>130</v>
      </c>
      <c r="E67" s="26" t="s">
        <v>20</v>
      </c>
      <c r="F67" s="22" t="s">
        <v>131</v>
      </c>
      <c r="G67" s="23">
        <f t="shared" si="0"/>
        <v>3.86232</v>
      </c>
      <c r="H67" s="27"/>
      <c r="I67" s="27"/>
      <c r="J67" s="45"/>
      <c r="K67" s="27">
        <f>K73+K83</f>
        <v>3.86232</v>
      </c>
      <c r="L67" s="19"/>
      <c r="M67" s="24"/>
      <c r="P67" s="25">
        <v>370</v>
      </c>
    </row>
    <row r="68" spans="3:16" s="17" customFormat="1" ht="12.75" x14ac:dyDescent="0.2">
      <c r="C68" s="18"/>
      <c r="D68" s="20" t="s">
        <v>132</v>
      </c>
      <c r="E68" s="26" t="s">
        <v>56</v>
      </c>
      <c r="F68" s="22" t="s">
        <v>133</v>
      </c>
      <c r="G68" s="23">
        <f t="shared" si="0"/>
        <v>0</v>
      </c>
      <c r="H68" s="27"/>
      <c r="I68" s="27"/>
      <c r="J68" s="27"/>
      <c r="K68" s="45"/>
      <c r="L68" s="19"/>
      <c r="M68" s="24"/>
      <c r="P68" s="25">
        <v>380</v>
      </c>
    </row>
    <row r="69" spans="3:16" s="17" customFormat="1" ht="12.75" x14ac:dyDescent="0.2">
      <c r="C69" s="18"/>
      <c r="D69" s="20" t="s">
        <v>134</v>
      </c>
      <c r="E69" s="46" t="s">
        <v>59</v>
      </c>
      <c r="F69" s="22" t="s">
        <v>135</v>
      </c>
      <c r="G69" s="23">
        <f t="shared" si="0"/>
        <v>0</v>
      </c>
      <c r="H69" s="27"/>
      <c r="I69" s="27"/>
      <c r="J69" s="27"/>
      <c r="K69" s="27"/>
      <c r="L69" s="19"/>
      <c r="M69" s="24"/>
      <c r="P69" s="25"/>
    </row>
    <row r="70" spans="3:16" s="17" customFormat="1" ht="12.75" x14ac:dyDescent="0.2">
      <c r="C70" s="18"/>
      <c r="D70" s="20" t="s">
        <v>136</v>
      </c>
      <c r="E70" s="21" t="s">
        <v>62</v>
      </c>
      <c r="F70" s="47" t="s">
        <v>137</v>
      </c>
      <c r="G70" s="23">
        <f t="shared" si="0"/>
        <v>4.8578999999999999</v>
      </c>
      <c r="H70" s="23">
        <f>H71+H73+H76+H79</f>
        <v>0</v>
      </c>
      <c r="I70" s="23">
        <f>I71+I73+I76+I79</f>
        <v>0</v>
      </c>
      <c r="J70" s="23">
        <f>J71+J73+J76+J79</f>
        <v>1.1658959999999998</v>
      </c>
      <c r="K70" s="23">
        <f>K71+K73+K76+K79</f>
        <v>3.6920039999999998</v>
      </c>
      <c r="L70" s="19"/>
      <c r="M70" s="24"/>
      <c r="P70" s="25">
        <v>390</v>
      </c>
    </row>
    <row r="71" spans="3:16" s="17" customFormat="1" ht="22.5" x14ac:dyDescent="0.2">
      <c r="C71" s="18"/>
      <c r="D71" s="20" t="s">
        <v>138</v>
      </c>
      <c r="E71" s="26" t="s">
        <v>65</v>
      </c>
      <c r="F71" s="22" t="s">
        <v>139</v>
      </c>
      <c r="G71" s="23">
        <f t="shared" si="0"/>
        <v>0</v>
      </c>
      <c r="H71" s="27"/>
      <c r="I71" s="27"/>
      <c r="J71" s="27"/>
      <c r="K71" s="27"/>
      <c r="L71" s="19"/>
      <c r="M71" s="24"/>
      <c r="P71" s="25"/>
    </row>
    <row r="72" spans="3:16" s="17" customFormat="1" ht="12.75" x14ac:dyDescent="0.2">
      <c r="C72" s="18"/>
      <c r="D72" s="20" t="s">
        <v>140</v>
      </c>
      <c r="E72" s="48" t="s">
        <v>68</v>
      </c>
      <c r="F72" s="22" t="s">
        <v>141</v>
      </c>
      <c r="G72" s="23">
        <f t="shared" si="0"/>
        <v>0</v>
      </c>
      <c r="H72" s="27"/>
      <c r="I72" s="27"/>
      <c r="J72" s="27"/>
      <c r="K72" s="27"/>
      <c r="L72" s="19"/>
      <c r="M72" s="24"/>
      <c r="P72" s="25"/>
    </row>
    <row r="73" spans="3:16" s="17" customFormat="1" ht="12.75" x14ac:dyDescent="0.2">
      <c r="C73" s="18"/>
      <c r="D73" s="20" t="s">
        <v>142</v>
      </c>
      <c r="E73" s="26" t="s">
        <v>71</v>
      </c>
      <c r="F73" s="22" t="s">
        <v>143</v>
      </c>
      <c r="G73" s="23">
        <f t="shared" si="0"/>
        <v>4.8578999999999999</v>
      </c>
      <c r="H73" s="27">
        <v>0</v>
      </c>
      <c r="I73" s="27">
        <v>0</v>
      </c>
      <c r="J73" s="27">
        <f>4.8579*0.24</f>
        <v>1.1658959999999998</v>
      </c>
      <c r="K73" s="27">
        <f>4.8579-J73</f>
        <v>3.6920039999999998</v>
      </c>
      <c r="L73" s="19"/>
      <c r="M73" s="24"/>
      <c r="P73" s="25"/>
    </row>
    <row r="74" spans="3:16" s="17" customFormat="1" ht="12.75" x14ac:dyDescent="0.2">
      <c r="C74" s="18"/>
      <c r="D74" s="20" t="s">
        <v>144</v>
      </c>
      <c r="E74" s="48" t="s">
        <v>74</v>
      </c>
      <c r="F74" s="22" t="s">
        <v>145</v>
      </c>
      <c r="G74" s="23">
        <f t="shared" si="0"/>
        <v>0</v>
      </c>
      <c r="H74" s="27"/>
      <c r="I74" s="27"/>
      <c r="J74" s="27"/>
      <c r="K74" s="27"/>
      <c r="L74" s="19"/>
      <c r="M74" s="24"/>
      <c r="P74" s="25"/>
    </row>
    <row r="75" spans="3:16" s="17" customFormat="1" ht="12.75" x14ac:dyDescent="0.2">
      <c r="C75" s="18"/>
      <c r="D75" s="20" t="s">
        <v>146</v>
      </c>
      <c r="E75" s="49" t="s">
        <v>68</v>
      </c>
      <c r="F75" s="22" t="s">
        <v>147</v>
      </c>
      <c r="G75" s="23">
        <f t="shared" si="0"/>
        <v>0</v>
      </c>
      <c r="H75" s="27"/>
      <c r="I75" s="27"/>
      <c r="J75" s="27"/>
      <c r="K75" s="27"/>
      <c r="L75" s="19"/>
      <c r="M75" s="24"/>
      <c r="P75" s="25"/>
    </row>
    <row r="76" spans="3:16" s="17" customFormat="1" ht="12.75" x14ac:dyDescent="0.2">
      <c r="C76" s="18"/>
      <c r="D76" s="20" t="s">
        <v>148</v>
      </c>
      <c r="E76" s="26" t="s">
        <v>79</v>
      </c>
      <c r="F76" s="22" t="s">
        <v>149</v>
      </c>
      <c r="G76" s="23">
        <f t="shared" si="0"/>
        <v>0</v>
      </c>
      <c r="H76" s="23">
        <f>SUM(H77:H78)</f>
        <v>0</v>
      </c>
      <c r="I76" s="23">
        <f>SUM(I77:I78)</f>
        <v>0</v>
      </c>
      <c r="J76" s="23">
        <f>SUM(J77:J78)</f>
        <v>0</v>
      </c>
      <c r="K76" s="23">
        <f>SUM(K77:K78)</f>
        <v>0</v>
      </c>
      <c r="L76" s="19"/>
      <c r="M76" s="24"/>
      <c r="P76" s="25"/>
    </row>
    <row r="77" spans="3:16" s="17" customFormat="1" ht="12.75" x14ac:dyDescent="0.2">
      <c r="C77" s="18"/>
      <c r="D77" s="28" t="s">
        <v>150</v>
      </c>
      <c r="E77" s="29"/>
      <c r="F77" s="30" t="s">
        <v>149</v>
      </c>
      <c r="G77" s="31"/>
      <c r="H77" s="31"/>
      <c r="I77" s="31"/>
      <c r="J77" s="31"/>
      <c r="K77" s="31"/>
      <c r="L77" s="19"/>
      <c r="M77" s="24"/>
      <c r="P77" s="25"/>
    </row>
    <row r="78" spans="3:16" s="17" customFormat="1" ht="12.75" x14ac:dyDescent="0.2">
      <c r="C78" s="18"/>
      <c r="D78" s="32"/>
      <c r="E78" s="33" t="s">
        <v>31</v>
      </c>
      <c r="F78" s="34"/>
      <c r="G78" s="34"/>
      <c r="H78" s="34"/>
      <c r="I78" s="34"/>
      <c r="J78" s="34"/>
      <c r="K78" s="35"/>
      <c r="L78" s="19"/>
      <c r="M78" s="24"/>
      <c r="P78" s="25"/>
    </row>
    <row r="79" spans="3:16" s="17" customFormat="1" ht="12.75" x14ac:dyDescent="0.2">
      <c r="C79" s="18"/>
      <c r="D79" s="20" t="s">
        <v>151</v>
      </c>
      <c r="E79" s="51" t="s">
        <v>83</v>
      </c>
      <c r="F79" s="22" t="s">
        <v>152</v>
      </c>
      <c r="G79" s="23">
        <f t="shared" si="0"/>
        <v>0</v>
      </c>
      <c r="H79" s="27"/>
      <c r="I79" s="27"/>
      <c r="J79" s="27"/>
      <c r="K79" s="27"/>
      <c r="L79" s="19"/>
      <c r="M79" s="24"/>
      <c r="P79" s="25">
        <v>410</v>
      </c>
    </row>
    <row r="80" spans="3:16" s="17" customFormat="1" ht="12.75" x14ac:dyDescent="0.2">
      <c r="C80" s="18"/>
      <c r="D80" s="20" t="s">
        <v>153</v>
      </c>
      <c r="E80" s="21" t="s">
        <v>86</v>
      </c>
      <c r="F80" s="22" t="s">
        <v>154</v>
      </c>
      <c r="G80" s="23">
        <f t="shared" si="0"/>
        <v>5.0819999999999999</v>
      </c>
      <c r="H80" s="27">
        <f>H62</f>
        <v>1.2196799999999999</v>
      </c>
      <c r="I80" s="27"/>
      <c r="J80" s="27">
        <f>K67</f>
        <v>3.86232</v>
      </c>
      <c r="K80" s="27"/>
      <c r="L80" s="19"/>
      <c r="M80" s="24"/>
      <c r="P80" s="25">
        <v>440</v>
      </c>
    </row>
    <row r="81" spans="3:16" s="17" customFormat="1" ht="12.75" x14ac:dyDescent="0.2">
      <c r="C81" s="18"/>
      <c r="D81" s="20" t="s">
        <v>155</v>
      </c>
      <c r="E81" s="21" t="s">
        <v>89</v>
      </c>
      <c r="F81" s="22" t="s">
        <v>156</v>
      </c>
      <c r="G81" s="23">
        <f t="shared" si="0"/>
        <v>0</v>
      </c>
      <c r="H81" s="27"/>
      <c r="I81" s="27"/>
      <c r="J81" s="27"/>
      <c r="K81" s="27"/>
      <c r="L81" s="19"/>
      <c r="M81" s="24"/>
      <c r="P81" s="25">
        <v>450</v>
      </c>
    </row>
    <row r="82" spans="3:16" s="17" customFormat="1" ht="12.75" x14ac:dyDescent="0.2">
      <c r="C82" s="18"/>
      <c r="D82" s="20" t="s">
        <v>157</v>
      </c>
      <c r="E82" s="21" t="s">
        <v>92</v>
      </c>
      <c r="F82" s="22" t="s">
        <v>158</v>
      </c>
      <c r="G82" s="23">
        <f t="shared" si="0"/>
        <v>0</v>
      </c>
      <c r="H82" s="27"/>
      <c r="I82" s="27"/>
      <c r="J82" s="27"/>
      <c r="K82" s="27"/>
      <c r="L82" s="19"/>
      <c r="M82" s="24"/>
      <c r="P82" s="25">
        <v>470</v>
      </c>
    </row>
    <row r="83" spans="3:16" s="17" customFormat="1" ht="12.75" x14ac:dyDescent="0.2">
      <c r="C83" s="18"/>
      <c r="D83" s="20" t="s">
        <v>159</v>
      </c>
      <c r="E83" s="21" t="s">
        <v>95</v>
      </c>
      <c r="F83" s="22" t="s">
        <v>160</v>
      </c>
      <c r="G83" s="23">
        <f t="shared" si="0"/>
        <v>0.22409999999999999</v>
      </c>
      <c r="H83" s="27"/>
      <c r="I83" s="27"/>
      <c r="J83" s="27">
        <f>0.2241*0.24</f>
        <v>5.3783999999999998E-2</v>
      </c>
      <c r="K83" s="27">
        <f>0.2241-J83</f>
        <v>0.170316</v>
      </c>
      <c r="L83" s="19"/>
      <c r="M83" s="24"/>
      <c r="P83" s="25">
        <v>480</v>
      </c>
    </row>
    <row r="84" spans="3:16" s="17" customFormat="1" ht="12.75" x14ac:dyDescent="0.2">
      <c r="C84" s="18"/>
      <c r="D84" s="20" t="s">
        <v>161</v>
      </c>
      <c r="E84" s="26" t="s">
        <v>162</v>
      </c>
      <c r="F84" s="22" t="s">
        <v>163</v>
      </c>
      <c r="G84" s="23">
        <f t="shared" si="0"/>
        <v>0</v>
      </c>
      <c r="H84" s="27"/>
      <c r="I84" s="27"/>
      <c r="J84" s="27"/>
      <c r="K84" s="27"/>
      <c r="L84" s="19"/>
      <c r="M84" s="24"/>
      <c r="P84" s="25">
        <v>490</v>
      </c>
    </row>
    <row r="85" spans="3:16" s="17" customFormat="1" ht="12.75" x14ac:dyDescent="0.2">
      <c r="C85" s="18"/>
      <c r="D85" s="20" t="s">
        <v>164</v>
      </c>
      <c r="E85" s="21" t="s">
        <v>101</v>
      </c>
      <c r="F85" s="22" t="s">
        <v>165</v>
      </c>
      <c r="G85" s="23">
        <f t="shared" si="0"/>
        <v>0.22409999999999999</v>
      </c>
      <c r="H85" s="27"/>
      <c r="I85" s="27"/>
      <c r="J85" s="27"/>
      <c r="K85" s="27">
        <f>0.2241</f>
        <v>0.22409999999999999</v>
      </c>
      <c r="L85" s="19"/>
      <c r="M85" s="24"/>
      <c r="P85" s="25"/>
    </row>
    <row r="86" spans="3:16" s="17" customFormat="1" ht="22.5" x14ac:dyDescent="0.2">
      <c r="C86" s="18"/>
      <c r="D86" s="20" t="s">
        <v>166</v>
      </c>
      <c r="E86" s="46" t="s">
        <v>104</v>
      </c>
      <c r="F86" s="22" t="s">
        <v>167</v>
      </c>
      <c r="G86" s="23">
        <f t="shared" si="0"/>
        <v>0</v>
      </c>
      <c r="H86" s="23">
        <f>H83-H85</f>
        <v>0</v>
      </c>
      <c r="I86" s="23">
        <f>I83-I85</f>
        <v>0</v>
      </c>
      <c r="J86" s="23">
        <f>J83-J85</f>
        <v>5.3783999999999998E-2</v>
      </c>
      <c r="K86" s="23">
        <f>K83-K85</f>
        <v>-5.3783999999999998E-2</v>
      </c>
      <c r="L86" s="19"/>
      <c r="M86" s="24"/>
      <c r="P86" s="25"/>
    </row>
    <row r="87" spans="3:16" s="17" customFormat="1" ht="12.75" x14ac:dyDescent="0.2">
      <c r="C87" s="18"/>
      <c r="D87" s="20" t="s">
        <v>168</v>
      </c>
      <c r="E87" s="21" t="s">
        <v>107</v>
      </c>
      <c r="F87" s="22" t="s">
        <v>169</v>
      </c>
      <c r="G87" s="23">
        <f t="shared" si="0"/>
        <v>0</v>
      </c>
      <c r="H87" s="23">
        <f>(H52+H64+H69)-(H70+H80+H81+H82+H83)</f>
        <v>0</v>
      </c>
      <c r="I87" s="23">
        <f>(I52+I64+I69)-(I70+I80+I81+I82+I83)</f>
        <v>0</v>
      </c>
      <c r="J87" s="23">
        <f>(J52+J64+J69)-(J70+J80+J81+J82+J83)</f>
        <v>0</v>
      </c>
      <c r="K87" s="23">
        <f>(K52+K64+K69)-(K70+K80+K81+K82+K83)</f>
        <v>0</v>
      </c>
      <c r="L87" s="19"/>
      <c r="M87" s="24"/>
      <c r="P87" s="25">
        <v>500</v>
      </c>
    </row>
    <row r="88" spans="3:16" s="17" customFormat="1" ht="12.75" x14ac:dyDescent="0.2">
      <c r="C88" s="18"/>
      <c r="D88" s="87" t="s">
        <v>170</v>
      </c>
      <c r="E88" s="88"/>
      <c r="F88" s="88"/>
      <c r="G88" s="88"/>
      <c r="H88" s="88"/>
      <c r="I88" s="88"/>
      <c r="J88" s="88"/>
      <c r="K88" s="89"/>
      <c r="L88" s="19"/>
      <c r="M88" s="24"/>
      <c r="P88" s="36"/>
    </row>
    <row r="89" spans="3:16" s="17" customFormat="1" ht="12.75" x14ac:dyDescent="0.2">
      <c r="C89" s="18"/>
      <c r="D89" s="20" t="s">
        <v>171</v>
      </c>
      <c r="E89" s="21" t="s">
        <v>172</v>
      </c>
      <c r="F89" s="22" t="s">
        <v>173</v>
      </c>
      <c r="G89" s="23">
        <f t="shared" si="0"/>
        <v>4.8578999999999999</v>
      </c>
      <c r="H89" s="27"/>
      <c r="I89" s="27"/>
      <c r="J89" s="42">
        <f>J73</f>
        <v>1.1658959999999998</v>
      </c>
      <c r="K89" s="42">
        <f>K73</f>
        <v>3.6920039999999998</v>
      </c>
      <c r="L89" s="19"/>
      <c r="M89" s="24"/>
      <c r="P89" s="25">
        <v>600</v>
      </c>
    </row>
    <row r="90" spans="3:16" s="17" customFormat="1" ht="12.75" x14ac:dyDescent="0.2">
      <c r="C90" s="18"/>
      <c r="D90" s="20" t="s">
        <v>174</v>
      </c>
      <c r="E90" s="21" t="s">
        <v>175</v>
      </c>
      <c r="F90" s="22" t="s">
        <v>176</v>
      </c>
      <c r="G90" s="23">
        <f t="shared" si="0"/>
        <v>0</v>
      </c>
      <c r="H90" s="27"/>
      <c r="I90" s="27"/>
      <c r="J90" s="27"/>
      <c r="K90" s="27"/>
      <c r="L90" s="19"/>
      <c r="M90" s="24"/>
      <c r="P90" s="25">
        <v>610</v>
      </c>
    </row>
    <row r="91" spans="3:16" s="17" customFormat="1" ht="12.75" x14ac:dyDescent="0.2">
      <c r="C91" s="18"/>
      <c r="D91" s="20" t="s">
        <v>177</v>
      </c>
      <c r="E91" s="21" t="s">
        <v>178</v>
      </c>
      <c r="F91" s="22" t="s">
        <v>179</v>
      </c>
      <c r="G91" s="23">
        <f t="shared" si="0"/>
        <v>0</v>
      </c>
      <c r="H91" s="27"/>
      <c r="I91" s="27"/>
      <c r="J91" s="27"/>
      <c r="K91" s="27"/>
      <c r="L91" s="19"/>
      <c r="M91" s="24"/>
      <c r="P91" s="25">
        <v>620</v>
      </c>
    </row>
    <row r="92" spans="3:16" s="17" customFormat="1" ht="12.75" x14ac:dyDescent="0.2">
      <c r="C92" s="18"/>
      <c r="D92" s="87" t="s">
        <v>180</v>
      </c>
      <c r="E92" s="88"/>
      <c r="F92" s="88"/>
      <c r="G92" s="88"/>
      <c r="H92" s="88"/>
      <c r="I92" s="88"/>
      <c r="J92" s="88"/>
      <c r="K92" s="89"/>
      <c r="L92" s="19"/>
      <c r="M92" s="24"/>
      <c r="P92" s="36"/>
    </row>
    <row r="93" spans="3:16" s="17" customFormat="1" ht="12.75" x14ac:dyDescent="0.2">
      <c r="C93" s="18"/>
      <c r="D93" s="20" t="s">
        <v>181</v>
      </c>
      <c r="E93" s="21" t="s">
        <v>182</v>
      </c>
      <c r="F93" s="22" t="s">
        <v>183</v>
      </c>
      <c r="G93" s="23">
        <f t="shared" si="0"/>
        <v>0</v>
      </c>
      <c r="H93" s="23">
        <f>SUM(H94:H95)</f>
        <v>0</v>
      </c>
      <c r="I93" s="23">
        <f>SUM(I94:I95)</f>
        <v>0</v>
      </c>
      <c r="J93" s="23">
        <f>SUM(J94:J95)</f>
        <v>0</v>
      </c>
      <c r="K93" s="23">
        <f>SUM(K94:K95)</f>
        <v>0</v>
      </c>
      <c r="L93" s="19"/>
      <c r="M93" s="24"/>
      <c r="P93" s="25">
        <v>700</v>
      </c>
    </row>
    <row r="94" spans="3:16" ht="12.75" x14ac:dyDescent="0.2">
      <c r="C94" s="6"/>
      <c r="D94" s="55" t="s">
        <v>184</v>
      </c>
      <c r="E94" s="26" t="s">
        <v>185</v>
      </c>
      <c r="F94" s="22" t="s">
        <v>186</v>
      </c>
      <c r="G94" s="23">
        <f t="shared" si="0"/>
        <v>0</v>
      </c>
      <c r="H94" s="56"/>
      <c r="I94" s="56"/>
      <c r="J94" s="56"/>
      <c r="K94" s="56"/>
      <c r="L94" s="13"/>
      <c r="M94" s="24"/>
      <c r="P94" s="25">
        <v>710</v>
      </c>
    </row>
    <row r="95" spans="3:16" ht="12.75" x14ac:dyDescent="0.2">
      <c r="C95" s="6"/>
      <c r="D95" s="55" t="s">
        <v>187</v>
      </c>
      <c r="E95" s="26" t="s">
        <v>188</v>
      </c>
      <c r="F95" s="22" t="s">
        <v>189</v>
      </c>
      <c r="G95" s="23">
        <f t="shared" si="0"/>
        <v>0</v>
      </c>
      <c r="H95" s="57">
        <f>H98</f>
        <v>0</v>
      </c>
      <c r="I95" s="57">
        <f>I98</f>
        <v>0</v>
      </c>
      <c r="J95" s="57">
        <f>J98</f>
        <v>0</v>
      </c>
      <c r="K95" s="57">
        <f>K98</f>
        <v>0</v>
      </c>
      <c r="L95" s="13"/>
      <c r="M95" s="24"/>
      <c r="P95" s="25">
        <v>720</v>
      </c>
    </row>
    <row r="96" spans="3:16" ht="12.75" x14ac:dyDescent="0.2">
      <c r="C96" s="6"/>
      <c r="D96" s="55" t="s">
        <v>190</v>
      </c>
      <c r="E96" s="48" t="s">
        <v>191</v>
      </c>
      <c r="F96" s="22" t="s">
        <v>192</v>
      </c>
      <c r="G96" s="23">
        <f t="shared" si="0"/>
        <v>0</v>
      </c>
      <c r="H96" s="56"/>
      <c r="I96" s="56"/>
      <c r="J96" s="56"/>
      <c r="K96" s="56"/>
      <c r="L96" s="13"/>
      <c r="M96" s="24"/>
      <c r="P96" s="25">
        <v>730</v>
      </c>
    </row>
    <row r="97" spans="3:16" ht="12.75" x14ac:dyDescent="0.2">
      <c r="C97" s="6"/>
      <c r="D97" s="55" t="s">
        <v>193</v>
      </c>
      <c r="E97" s="49" t="s">
        <v>194</v>
      </c>
      <c r="F97" s="22" t="s">
        <v>195</v>
      </c>
      <c r="G97" s="23">
        <f t="shared" si="0"/>
        <v>0</v>
      </c>
      <c r="H97" s="56"/>
      <c r="I97" s="56"/>
      <c r="J97" s="56"/>
      <c r="K97" s="56"/>
      <c r="L97" s="13"/>
      <c r="M97" s="24"/>
      <c r="P97" s="25"/>
    </row>
    <row r="98" spans="3:16" ht="12.75" x14ac:dyDescent="0.2">
      <c r="C98" s="6"/>
      <c r="D98" s="55" t="s">
        <v>196</v>
      </c>
      <c r="E98" s="48" t="s">
        <v>197</v>
      </c>
      <c r="F98" s="22" t="s">
        <v>198</v>
      </c>
      <c r="G98" s="23">
        <f t="shared" si="0"/>
        <v>0</v>
      </c>
      <c r="H98" s="56"/>
      <c r="I98" s="56"/>
      <c r="J98" s="56"/>
      <c r="K98" s="56"/>
      <c r="L98" s="13"/>
      <c r="M98" s="24"/>
      <c r="P98" s="25">
        <v>740</v>
      </c>
    </row>
    <row r="99" spans="3:16" ht="12.75" x14ac:dyDescent="0.2">
      <c r="C99" s="6"/>
      <c r="D99" s="55" t="s">
        <v>199</v>
      </c>
      <c r="E99" s="21" t="s">
        <v>200</v>
      </c>
      <c r="F99" s="22" t="s">
        <v>201</v>
      </c>
      <c r="G99" s="23">
        <f t="shared" si="0"/>
        <v>0</v>
      </c>
      <c r="H99" s="57">
        <f>H100+H116</f>
        <v>0</v>
      </c>
      <c r="I99" s="57">
        <f>I100+I116</f>
        <v>0</v>
      </c>
      <c r="J99" s="57">
        <f>J100+J116</f>
        <v>0</v>
      </c>
      <c r="K99" s="57">
        <f>K100+K116</f>
        <v>0</v>
      </c>
      <c r="L99" s="13"/>
      <c r="M99" s="24"/>
      <c r="P99" s="25">
        <v>750</v>
      </c>
    </row>
    <row r="100" spans="3:16" ht="12.75" x14ac:dyDescent="0.2">
      <c r="C100" s="6"/>
      <c r="D100" s="55" t="s">
        <v>202</v>
      </c>
      <c r="E100" s="26" t="s">
        <v>203</v>
      </c>
      <c r="F100" s="22" t="s">
        <v>204</v>
      </c>
      <c r="G100" s="23">
        <f t="shared" si="0"/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57">
        <f>K101+K102</f>
        <v>0</v>
      </c>
      <c r="L100" s="13"/>
      <c r="M100" s="24"/>
      <c r="P100" s="25">
        <v>760</v>
      </c>
    </row>
    <row r="101" spans="3:16" ht="12.75" x14ac:dyDescent="0.2">
      <c r="C101" s="6"/>
      <c r="D101" s="55" t="s">
        <v>205</v>
      </c>
      <c r="E101" s="48" t="s">
        <v>206</v>
      </c>
      <c r="F101" s="22" t="s">
        <v>207</v>
      </c>
      <c r="G101" s="23">
        <f t="shared" si="0"/>
        <v>0</v>
      </c>
      <c r="H101" s="56"/>
      <c r="I101" s="56"/>
      <c r="J101" s="56"/>
      <c r="K101" s="56"/>
      <c r="L101" s="13"/>
      <c r="M101" s="24"/>
      <c r="P101" s="25"/>
    </row>
    <row r="102" spans="3:16" ht="12.75" x14ac:dyDescent="0.2">
      <c r="C102" s="6"/>
      <c r="D102" s="55" t="s">
        <v>208</v>
      </c>
      <c r="E102" s="48" t="s">
        <v>209</v>
      </c>
      <c r="F102" s="22" t="s">
        <v>210</v>
      </c>
      <c r="G102" s="23">
        <f t="shared" si="0"/>
        <v>0</v>
      </c>
      <c r="H102" s="57">
        <f>H103+H106+H109+H112+H113+H114+H115</f>
        <v>0</v>
      </c>
      <c r="I102" s="57">
        <f>I103+I106+I109+I112+I113+I114+I115</f>
        <v>0</v>
      </c>
      <c r="J102" s="57">
        <f>J103+J106+J109+J112+J113+J114+J115</f>
        <v>0</v>
      </c>
      <c r="K102" s="57">
        <f>K103+K106+K109+K112+K113+K114+K115</f>
        <v>0</v>
      </c>
      <c r="L102" s="13"/>
      <c r="M102" s="24"/>
      <c r="P102" s="25"/>
    </row>
    <row r="103" spans="3:16" ht="33.75" x14ac:dyDescent="0.2">
      <c r="C103" s="6"/>
      <c r="D103" s="55" t="s">
        <v>211</v>
      </c>
      <c r="E103" s="49" t="s">
        <v>212</v>
      </c>
      <c r="F103" s="22" t="s">
        <v>213</v>
      </c>
      <c r="G103" s="23">
        <f t="shared" si="0"/>
        <v>0</v>
      </c>
      <c r="H103" s="58">
        <f>H104+H105</f>
        <v>0</v>
      </c>
      <c r="I103" s="58">
        <f>I104+I105</f>
        <v>0</v>
      </c>
      <c r="J103" s="58">
        <f>J104+J105</f>
        <v>0</v>
      </c>
      <c r="K103" s="58">
        <f>K104+K105</f>
        <v>0</v>
      </c>
      <c r="L103" s="13"/>
      <c r="M103" s="24"/>
      <c r="P103" s="25"/>
    </row>
    <row r="104" spans="3:16" ht="12.75" x14ac:dyDescent="0.2">
      <c r="C104" s="6"/>
      <c r="D104" s="55" t="s">
        <v>214</v>
      </c>
      <c r="E104" s="59" t="s">
        <v>215</v>
      </c>
      <c r="F104" s="22" t="s">
        <v>216</v>
      </c>
      <c r="G104" s="23">
        <f t="shared" si="0"/>
        <v>0</v>
      </c>
      <c r="H104" s="56"/>
      <c r="I104" s="56"/>
      <c r="J104" s="56"/>
      <c r="K104" s="56"/>
      <c r="L104" s="13"/>
      <c r="M104" s="24"/>
      <c r="P104" s="25"/>
    </row>
    <row r="105" spans="3:16" ht="12.75" x14ac:dyDescent="0.2">
      <c r="C105" s="6"/>
      <c r="D105" s="55" t="s">
        <v>217</v>
      </c>
      <c r="E105" s="59" t="s">
        <v>218</v>
      </c>
      <c r="F105" s="22" t="s">
        <v>219</v>
      </c>
      <c r="G105" s="23">
        <f t="shared" si="0"/>
        <v>0</v>
      </c>
      <c r="H105" s="56"/>
      <c r="I105" s="56"/>
      <c r="J105" s="56"/>
      <c r="K105" s="56"/>
      <c r="L105" s="13"/>
      <c r="M105" s="24"/>
      <c r="P105" s="25"/>
    </row>
    <row r="106" spans="3:16" ht="33.75" x14ac:dyDescent="0.2">
      <c r="C106" s="6"/>
      <c r="D106" s="55" t="s">
        <v>220</v>
      </c>
      <c r="E106" s="49" t="s">
        <v>221</v>
      </c>
      <c r="F106" s="22" t="s">
        <v>222</v>
      </c>
      <c r="G106" s="23">
        <f t="shared" si="0"/>
        <v>0</v>
      </c>
      <c r="H106" s="58">
        <f>H107+H108</f>
        <v>0</v>
      </c>
      <c r="I106" s="58">
        <f>I107+I108</f>
        <v>0</v>
      </c>
      <c r="J106" s="58">
        <f>J107+J108</f>
        <v>0</v>
      </c>
      <c r="K106" s="58">
        <f>K107+K108</f>
        <v>0</v>
      </c>
      <c r="L106" s="13"/>
      <c r="M106" s="24"/>
      <c r="P106" s="25"/>
    </row>
    <row r="107" spans="3:16" ht="12.75" x14ac:dyDescent="0.2">
      <c r="C107" s="6"/>
      <c r="D107" s="55" t="s">
        <v>223</v>
      </c>
      <c r="E107" s="59" t="s">
        <v>215</v>
      </c>
      <c r="F107" s="22" t="s">
        <v>224</v>
      </c>
      <c r="G107" s="23">
        <f t="shared" si="0"/>
        <v>0</v>
      </c>
      <c r="H107" s="56"/>
      <c r="I107" s="56"/>
      <c r="J107" s="56"/>
      <c r="K107" s="56"/>
      <c r="L107" s="13"/>
      <c r="M107" s="24"/>
      <c r="P107" s="25"/>
    </row>
    <row r="108" spans="3:16" ht="12.75" x14ac:dyDescent="0.2">
      <c r="C108" s="6"/>
      <c r="D108" s="55" t="s">
        <v>225</v>
      </c>
      <c r="E108" s="59" t="s">
        <v>218</v>
      </c>
      <c r="F108" s="22" t="s">
        <v>226</v>
      </c>
      <c r="G108" s="23">
        <f t="shared" si="0"/>
        <v>0</v>
      </c>
      <c r="H108" s="56"/>
      <c r="I108" s="56"/>
      <c r="J108" s="56"/>
      <c r="K108" s="56"/>
      <c r="L108" s="13"/>
      <c r="M108" s="24"/>
      <c r="P108" s="25"/>
    </row>
    <row r="109" spans="3:16" ht="22.5" x14ac:dyDescent="0.2">
      <c r="C109" s="6"/>
      <c r="D109" s="55" t="s">
        <v>227</v>
      </c>
      <c r="E109" s="49" t="s">
        <v>228</v>
      </c>
      <c r="F109" s="22" t="s">
        <v>229</v>
      </c>
      <c r="G109" s="23">
        <f t="shared" si="0"/>
        <v>0</v>
      </c>
      <c r="H109" s="58">
        <f>H110+H111</f>
        <v>0</v>
      </c>
      <c r="I109" s="58">
        <f>I110+I111</f>
        <v>0</v>
      </c>
      <c r="J109" s="58">
        <f>J110+J111</f>
        <v>0</v>
      </c>
      <c r="K109" s="58">
        <f>K110+K111</f>
        <v>0</v>
      </c>
      <c r="L109" s="13"/>
      <c r="M109" s="24"/>
      <c r="P109" s="25"/>
    </row>
    <row r="110" spans="3:16" ht="12.75" x14ac:dyDescent="0.2">
      <c r="C110" s="6"/>
      <c r="D110" s="55" t="s">
        <v>230</v>
      </c>
      <c r="E110" s="59" t="s">
        <v>215</v>
      </c>
      <c r="F110" s="22" t="s">
        <v>231</v>
      </c>
      <c r="G110" s="23">
        <f t="shared" si="0"/>
        <v>0</v>
      </c>
      <c r="H110" s="56"/>
      <c r="I110" s="56"/>
      <c r="J110" s="56"/>
      <c r="K110" s="56"/>
      <c r="L110" s="13"/>
      <c r="M110" s="24"/>
      <c r="P110" s="25"/>
    </row>
    <row r="111" spans="3:16" ht="12.75" x14ac:dyDescent="0.2">
      <c r="C111" s="6"/>
      <c r="D111" s="55" t="s">
        <v>232</v>
      </c>
      <c r="E111" s="59" t="s">
        <v>218</v>
      </c>
      <c r="F111" s="22" t="s">
        <v>233</v>
      </c>
      <c r="G111" s="23">
        <f t="shared" si="0"/>
        <v>0</v>
      </c>
      <c r="H111" s="56"/>
      <c r="I111" s="56"/>
      <c r="J111" s="56"/>
      <c r="K111" s="56"/>
      <c r="L111" s="13"/>
      <c r="M111" s="24"/>
      <c r="P111" s="25"/>
    </row>
    <row r="112" spans="3:16" ht="12.75" x14ac:dyDescent="0.2">
      <c r="C112" s="6"/>
      <c r="D112" s="55" t="s">
        <v>234</v>
      </c>
      <c r="E112" s="49" t="s">
        <v>235</v>
      </c>
      <c r="F112" s="22" t="s">
        <v>236</v>
      </c>
      <c r="G112" s="23">
        <f t="shared" si="0"/>
        <v>0</v>
      </c>
      <c r="H112" s="56"/>
      <c r="I112" s="56"/>
      <c r="J112" s="56"/>
      <c r="K112" s="56"/>
      <c r="L112" s="13"/>
      <c r="M112" s="24"/>
      <c r="P112" s="25"/>
    </row>
    <row r="113" spans="3:16" ht="12.75" x14ac:dyDescent="0.2">
      <c r="C113" s="6"/>
      <c r="D113" s="55" t="s">
        <v>237</v>
      </c>
      <c r="E113" s="49" t="s">
        <v>238</v>
      </c>
      <c r="F113" s="22" t="s">
        <v>239</v>
      </c>
      <c r="G113" s="23">
        <f t="shared" si="0"/>
        <v>0</v>
      </c>
      <c r="H113" s="56"/>
      <c r="I113" s="56"/>
      <c r="J113" s="56"/>
      <c r="K113" s="56"/>
      <c r="L113" s="13"/>
      <c r="M113" s="24"/>
      <c r="P113" s="25"/>
    </row>
    <row r="114" spans="3:16" ht="33.75" x14ac:dyDescent="0.2">
      <c r="C114" s="6"/>
      <c r="D114" s="55" t="s">
        <v>240</v>
      </c>
      <c r="E114" s="49" t="s">
        <v>241</v>
      </c>
      <c r="F114" s="22" t="s">
        <v>242</v>
      </c>
      <c r="G114" s="23">
        <f t="shared" si="0"/>
        <v>0</v>
      </c>
      <c r="H114" s="56"/>
      <c r="I114" s="56"/>
      <c r="J114" s="56"/>
      <c r="K114" s="56"/>
      <c r="L114" s="13"/>
      <c r="M114" s="24"/>
      <c r="P114" s="25"/>
    </row>
    <row r="115" spans="3:16" ht="22.5" x14ac:dyDescent="0.2">
      <c r="C115" s="6"/>
      <c r="D115" s="55" t="s">
        <v>243</v>
      </c>
      <c r="E115" s="49" t="s">
        <v>244</v>
      </c>
      <c r="F115" s="22" t="s">
        <v>245</v>
      </c>
      <c r="G115" s="23">
        <f t="shared" si="0"/>
        <v>0</v>
      </c>
      <c r="H115" s="56"/>
      <c r="I115" s="56"/>
      <c r="J115" s="56"/>
      <c r="K115" s="56"/>
      <c r="L115" s="13"/>
      <c r="M115" s="24"/>
      <c r="P115" s="25"/>
    </row>
    <row r="116" spans="3:16" ht="12.75" x14ac:dyDescent="0.2">
      <c r="C116" s="6"/>
      <c r="D116" s="55" t="s">
        <v>246</v>
      </c>
      <c r="E116" s="26" t="s">
        <v>247</v>
      </c>
      <c r="F116" s="22" t="s">
        <v>248</v>
      </c>
      <c r="G116" s="23">
        <f t="shared" si="0"/>
        <v>0</v>
      </c>
      <c r="H116" s="57">
        <f>H119</f>
        <v>0</v>
      </c>
      <c r="I116" s="57">
        <f>I119</f>
        <v>0</v>
      </c>
      <c r="J116" s="57">
        <f>J119</f>
        <v>0</v>
      </c>
      <c r="K116" s="57">
        <f>K119</f>
        <v>0</v>
      </c>
      <c r="L116" s="13"/>
      <c r="M116" s="24"/>
      <c r="P116" s="25">
        <v>770</v>
      </c>
    </row>
    <row r="117" spans="3:16" ht="12.75" x14ac:dyDescent="0.2">
      <c r="C117" s="6"/>
      <c r="D117" s="55" t="s">
        <v>249</v>
      </c>
      <c r="E117" s="48" t="s">
        <v>191</v>
      </c>
      <c r="F117" s="22" t="s">
        <v>250</v>
      </c>
      <c r="G117" s="23">
        <f t="shared" si="0"/>
        <v>0</v>
      </c>
      <c r="H117" s="56"/>
      <c r="I117" s="56"/>
      <c r="J117" s="56"/>
      <c r="K117" s="56"/>
      <c r="L117" s="13"/>
      <c r="M117" s="24"/>
      <c r="P117" s="25">
        <v>780</v>
      </c>
    </row>
    <row r="118" spans="3:16" ht="12.75" x14ac:dyDescent="0.2">
      <c r="C118" s="6"/>
      <c r="D118" s="55" t="s">
        <v>251</v>
      </c>
      <c r="E118" s="49" t="s">
        <v>252</v>
      </c>
      <c r="F118" s="22" t="s">
        <v>253</v>
      </c>
      <c r="G118" s="23">
        <f t="shared" si="0"/>
        <v>0</v>
      </c>
      <c r="H118" s="56"/>
      <c r="I118" s="56"/>
      <c r="J118" s="56"/>
      <c r="K118" s="56"/>
      <c r="L118" s="13"/>
      <c r="M118" s="24"/>
      <c r="P118" s="25"/>
    </row>
    <row r="119" spans="3:16" ht="12.75" x14ac:dyDescent="0.2">
      <c r="C119" s="6"/>
      <c r="D119" s="55" t="s">
        <v>254</v>
      </c>
      <c r="E119" s="48" t="s">
        <v>197</v>
      </c>
      <c r="F119" s="22" t="s">
        <v>255</v>
      </c>
      <c r="G119" s="23">
        <f t="shared" si="0"/>
        <v>0</v>
      </c>
      <c r="H119" s="56"/>
      <c r="I119" s="56"/>
      <c r="J119" s="56"/>
      <c r="K119" s="56"/>
      <c r="L119" s="13"/>
      <c r="M119" s="24"/>
      <c r="P119" s="25">
        <v>790</v>
      </c>
    </row>
    <row r="120" spans="3:16" ht="12.75" x14ac:dyDescent="0.2">
      <c r="C120" s="6"/>
      <c r="D120" s="55" t="s">
        <v>256</v>
      </c>
      <c r="E120" s="46" t="s">
        <v>257</v>
      </c>
      <c r="F120" s="22" t="s">
        <v>258</v>
      </c>
      <c r="G120" s="23">
        <f t="shared" si="0"/>
        <v>2810.4879999999998</v>
      </c>
      <c r="H120" s="57">
        <f>SUM(H121:H122)</f>
        <v>0</v>
      </c>
      <c r="I120" s="57">
        <f>SUM(I121:I122)</f>
        <v>0</v>
      </c>
      <c r="J120" s="57">
        <f>SUM(J121:J122)</f>
        <v>345.73599999999999</v>
      </c>
      <c r="K120" s="57">
        <f>SUM(K121:K122)</f>
        <v>2464.752</v>
      </c>
      <c r="L120" s="13"/>
      <c r="M120" s="24"/>
      <c r="P120" s="25"/>
    </row>
    <row r="121" spans="3:16" ht="12.75" x14ac:dyDescent="0.2">
      <c r="C121" s="6"/>
      <c r="D121" s="55" t="s">
        <v>259</v>
      </c>
      <c r="E121" s="26" t="s">
        <v>185</v>
      </c>
      <c r="F121" s="22" t="s">
        <v>260</v>
      </c>
      <c r="G121" s="23">
        <f t="shared" si="0"/>
        <v>2810.4879999999998</v>
      </c>
      <c r="H121" s="56"/>
      <c r="I121" s="56"/>
      <c r="J121" s="56">
        <f>J36</f>
        <v>345.73599999999999</v>
      </c>
      <c r="K121" s="56">
        <f>K36</f>
        <v>2464.752</v>
      </c>
      <c r="L121" s="13"/>
      <c r="M121" s="24"/>
      <c r="P121" s="25"/>
    </row>
    <row r="122" spans="3:16" ht="12.75" x14ac:dyDescent="0.2">
      <c r="C122" s="6"/>
      <c r="D122" s="55" t="s">
        <v>261</v>
      </c>
      <c r="E122" s="26" t="s">
        <v>188</v>
      </c>
      <c r="F122" s="22" t="s">
        <v>262</v>
      </c>
      <c r="G122" s="23">
        <f t="shared" si="0"/>
        <v>0</v>
      </c>
      <c r="H122" s="57">
        <f>H124</f>
        <v>0</v>
      </c>
      <c r="I122" s="57">
        <f>I124</f>
        <v>0</v>
      </c>
      <c r="J122" s="57">
        <f>J124</f>
        <v>0</v>
      </c>
      <c r="K122" s="57">
        <f>K124</f>
        <v>0</v>
      </c>
      <c r="L122" s="13"/>
      <c r="M122" s="24"/>
      <c r="P122" s="25"/>
    </row>
    <row r="123" spans="3:16" ht="12.75" x14ac:dyDescent="0.2">
      <c r="C123" s="6"/>
      <c r="D123" s="55" t="s">
        <v>263</v>
      </c>
      <c r="E123" s="48" t="s">
        <v>264</v>
      </c>
      <c r="F123" s="22" t="s">
        <v>265</v>
      </c>
      <c r="G123" s="23">
        <f t="shared" si="0"/>
        <v>0</v>
      </c>
      <c r="H123" s="56"/>
      <c r="I123" s="56"/>
      <c r="J123" s="56"/>
      <c r="K123" s="56"/>
      <c r="L123" s="13"/>
      <c r="M123" s="24"/>
      <c r="P123" s="25"/>
    </row>
    <row r="124" spans="3:16" ht="12.75" x14ac:dyDescent="0.2">
      <c r="C124" s="6"/>
      <c r="D124" s="55" t="s">
        <v>266</v>
      </c>
      <c r="E124" s="48" t="s">
        <v>197</v>
      </c>
      <c r="F124" s="22" t="s">
        <v>267</v>
      </c>
      <c r="G124" s="23">
        <f t="shared" si="0"/>
        <v>0</v>
      </c>
      <c r="H124" s="56"/>
      <c r="I124" s="56"/>
      <c r="J124" s="56"/>
      <c r="K124" s="56"/>
      <c r="L124" s="13"/>
      <c r="M124" s="24"/>
      <c r="P124" s="25"/>
    </row>
    <row r="125" spans="3:16" ht="12.75" x14ac:dyDescent="0.2">
      <c r="C125" s="6"/>
      <c r="D125" s="87" t="s">
        <v>268</v>
      </c>
      <c r="E125" s="88"/>
      <c r="F125" s="88"/>
      <c r="G125" s="88"/>
      <c r="H125" s="88"/>
      <c r="I125" s="88"/>
      <c r="J125" s="88"/>
      <c r="K125" s="89"/>
      <c r="L125" s="13"/>
      <c r="M125" s="24"/>
      <c r="P125" s="60"/>
    </row>
    <row r="126" spans="3:16" ht="22.5" x14ac:dyDescent="0.2">
      <c r="C126" s="6"/>
      <c r="D126" s="55" t="s">
        <v>269</v>
      </c>
      <c r="E126" s="21" t="s">
        <v>270</v>
      </c>
      <c r="F126" s="22" t="s">
        <v>271</v>
      </c>
      <c r="G126" s="23">
        <f t="shared" si="0"/>
        <v>0</v>
      </c>
      <c r="H126" s="57">
        <f>SUM( H127:H128)</f>
        <v>0</v>
      </c>
      <c r="I126" s="57">
        <f>SUM( I127:I128)</f>
        <v>0</v>
      </c>
      <c r="J126" s="57">
        <f>SUM( J127:J128)</f>
        <v>0</v>
      </c>
      <c r="K126" s="57">
        <f>SUM( K127:K128)</f>
        <v>0</v>
      </c>
      <c r="L126" s="13"/>
      <c r="M126" s="24"/>
      <c r="P126" s="25">
        <v>800</v>
      </c>
    </row>
    <row r="127" spans="3:16" ht="12.75" x14ac:dyDescent="0.2">
      <c r="C127" s="6"/>
      <c r="D127" s="55" t="s">
        <v>272</v>
      </c>
      <c r="E127" s="26" t="s">
        <v>185</v>
      </c>
      <c r="F127" s="22" t="s">
        <v>273</v>
      </c>
      <c r="G127" s="23">
        <f t="shared" si="0"/>
        <v>0</v>
      </c>
      <c r="H127" s="56"/>
      <c r="I127" s="56"/>
      <c r="J127" s="56"/>
      <c r="K127" s="56"/>
      <c r="L127" s="13"/>
      <c r="M127" s="24"/>
      <c r="P127" s="25">
        <v>810</v>
      </c>
    </row>
    <row r="128" spans="3:16" ht="12.75" x14ac:dyDescent="0.2">
      <c r="C128" s="6"/>
      <c r="D128" s="55" t="s">
        <v>274</v>
      </c>
      <c r="E128" s="26" t="s">
        <v>188</v>
      </c>
      <c r="F128" s="22" t="s">
        <v>275</v>
      </c>
      <c r="G128" s="23">
        <f t="shared" si="0"/>
        <v>0</v>
      </c>
      <c r="H128" s="57">
        <f>H129+H131</f>
        <v>0</v>
      </c>
      <c r="I128" s="57">
        <f>I129+I131</f>
        <v>0</v>
      </c>
      <c r="J128" s="57">
        <f>J129+J131</f>
        <v>0</v>
      </c>
      <c r="K128" s="57">
        <f>K129+K131</f>
        <v>0</v>
      </c>
      <c r="L128" s="13"/>
      <c r="M128" s="24"/>
      <c r="P128" s="25">
        <v>820</v>
      </c>
    </row>
    <row r="129" spans="3:16" ht="12.75" x14ac:dyDescent="0.2">
      <c r="C129" s="6"/>
      <c r="D129" s="55" t="s">
        <v>276</v>
      </c>
      <c r="E129" s="48" t="s">
        <v>277</v>
      </c>
      <c r="F129" s="22" t="s">
        <v>278</v>
      </c>
      <c r="G129" s="23">
        <f t="shared" si="0"/>
        <v>0</v>
      </c>
      <c r="H129" s="56"/>
      <c r="I129" s="56"/>
      <c r="J129" s="56"/>
      <c r="K129" s="56"/>
      <c r="L129" s="13"/>
      <c r="M129" s="24"/>
      <c r="P129" s="25">
        <v>830</v>
      </c>
    </row>
    <row r="130" spans="3:16" ht="12.75" x14ac:dyDescent="0.2">
      <c r="C130" s="6"/>
      <c r="D130" s="55" t="s">
        <v>279</v>
      </c>
      <c r="E130" s="49" t="s">
        <v>280</v>
      </c>
      <c r="F130" s="22" t="s">
        <v>281</v>
      </c>
      <c r="G130" s="23">
        <f t="shared" si="0"/>
        <v>0</v>
      </c>
      <c r="H130" s="56"/>
      <c r="I130" s="56"/>
      <c r="J130" s="56"/>
      <c r="K130" s="56"/>
      <c r="L130" s="13"/>
      <c r="M130" s="24"/>
      <c r="P130" s="60"/>
    </row>
    <row r="131" spans="3:16" ht="12.75" x14ac:dyDescent="0.2">
      <c r="C131" s="6"/>
      <c r="D131" s="55" t="s">
        <v>282</v>
      </c>
      <c r="E131" s="48" t="s">
        <v>283</v>
      </c>
      <c r="F131" s="22" t="s">
        <v>284</v>
      </c>
      <c r="G131" s="23">
        <f t="shared" si="0"/>
        <v>0</v>
      </c>
      <c r="H131" s="56"/>
      <c r="I131" s="56"/>
      <c r="J131" s="56"/>
      <c r="K131" s="56"/>
      <c r="L131" s="13"/>
      <c r="M131" s="24"/>
      <c r="P131" s="25">
        <v>840</v>
      </c>
    </row>
    <row r="132" spans="3:16" ht="12.75" x14ac:dyDescent="0.2">
      <c r="C132" s="6"/>
      <c r="D132" s="55" t="s">
        <v>30</v>
      </c>
      <c r="E132" s="21" t="s">
        <v>285</v>
      </c>
      <c r="F132" s="22" t="s">
        <v>286</v>
      </c>
      <c r="G132" s="23">
        <f t="shared" si="0"/>
        <v>0</v>
      </c>
      <c r="H132" s="58">
        <f>SUM( H133+H138)</f>
        <v>0</v>
      </c>
      <c r="I132" s="58">
        <f>SUM( I133+I138)</f>
        <v>0</v>
      </c>
      <c r="J132" s="58">
        <f>SUM( J133+J138)</f>
        <v>0</v>
      </c>
      <c r="K132" s="58">
        <f>SUM( K133+K138)</f>
        <v>0</v>
      </c>
      <c r="L132" s="61"/>
      <c r="M132" s="24"/>
      <c r="P132" s="25">
        <v>850</v>
      </c>
    </row>
    <row r="133" spans="3:16" ht="12.75" x14ac:dyDescent="0.2">
      <c r="C133" s="6"/>
      <c r="D133" s="55" t="s">
        <v>287</v>
      </c>
      <c r="E133" s="26" t="s">
        <v>185</v>
      </c>
      <c r="F133" s="22" t="s">
        <v>288</v>
      </c>
      <c r="G133" s="23">
        <f t="shared" ref="G133:G146" si="1">SUM(H133:K133)</f>
        <v>0</v>
      </c>
      <c r="H133" s="58">
        <f>SUM( H134:H135)</f>
        <v>0</v>
      </c>
      <c r="I133" s="58">
        <f>SUM( I134:I135)</f>
        <v>0</v>
      </c>
      <c r="J133" s="58">
        <f>SUM( J134:J135)</f>
        <v>0</v>
      </c>
      <c r="K133" s="58">
        <f>SUM( K134:K135)</f>
        <v>0</v>
      </c>
      <c r="L133" s="61"/>
      <c r="M133" s="24"/>
      <c r="P133" s="25">
        <v>860</v>
      </c>
    </row>
    <row r="134" spans="3:16" ht="12.75" x14ac:dyDescent="0.2">
      <c r="C134" s="6"/>
      <c r="D134" s="55" t="s">
        <v>289</v>
      </c>
      <c r="E134" s="48" t="s">
        <v>206</v>
      </c>
      <c r="F134" s="22" t="s">
        <v>290</v>
      </c>
      <c r="G134" s="23">
        <f t="shared" si="1"/>
        <v>0</v>
      </c>
      <c r="H134" s="62"/>
      <c r="I134" s="62"/>
      <c r="J134" s="62"/>
      <c r="K134" s="62"/>
      <c r="L134" s="61"/>
      <c r="M134" s="24"/>
      <c r="P134" s="25"/>
    </row>
    <row r="135" spans="3:16" ht="12.75" x14ac:dyDescent="0.2">
      <c r="C135" s="6"/>
      <c r="D135" s="55" t="s">
        <v>291</v>
      </c>
      <c r="E135" s="48" t="s">
        <v>209</v>
      </c>
      <c r="F135" s="22" t="s">
        <v>292</v>
      </c>
      <c r="G135" s="23">
        <f t="shared" si="1"/>
        <v>0</v>
      </c>
      <c r="H135" s="58">
        <f>H136+H137</f>
        <v>0</v>
      </c>
      <c r="I135" s="58">
        <f>I136+I137</f>
        <v>0</v>
      </c>
      <c r="J135" s="58">
        <f>J136+J137</f>
        <v>0</v>
      </c>
      <c r="K135" s="58">
        <f>K136+K137</f>
        <v>0</v>
      </c>
      <c r="L135" s="61"/>
      <c r="M135" s="24"/>
      <c r="P135" s="25"/>
    </row>
    <row r="136" spans="3:16" ht="12.75" x14ac:dyDescent="0.2">
      <c r="C136" s="6"/>
      <c r="D136" s="55" t="s">
        <v>293</v>
      </c>
      <c r="E136" s="49" t="s">
        <v>215</v>
      </c>
      <c r="F136" s="22" t="s">
        <v>294</v>
      </c>
      <c r="G136" s="23">
        <f t="shared" si="1"/>
        <v>0</v>
      </c>
      <c r="H136" s="62"/>
      <c r="I136" s="62"/>
      <c r="J136" s="62"/>
      <c r="K136" s="62"/>
      <c r="L136" s="61"/>
      <c r="M136" s="24"/>
      <c r="P136" s="25"/>
    </row>
    <row r="137" spans="3:16" ht="12.75" x14ac:dyDescent="0.2">
      <c r="C137" s="6"/>
      <c r="D137" s="55" t="s">
        <v>295</v>
      </c>
      <c r="E137" s="49" t="s">
        <v>296</v>
      </c>
      <c r="F137" s="22" t="s">
        <v>297</v>
      </c>
      <c r="G137" s="23">
        <f t="shared" si="1"/>
        <v>0</v>
      </c>
      <c r="H137" s="62"/>
      <c r="I137" s="62"/>
      <c r="J137" s="62"/>
      <c r="K137" s="62"/>
      <c r="L137" s="61"/>
      <c r="M137" s="24"/>
      <c r="P137" s="25"/>
    </row>
    <row r="138" spans="3:16" ht="12.75" x14ac:dyDescent="0.2">
      <c r="C138" s="6"/>
      <c r="D138" s="55" t="s">
        <v>298</v>
      </c>
      <c r="E138" s="26" t="s">
        <v>247</v>
      </c>
      <c r="F138" s="22" t="s">
        <v>299</v>
      </c>
      <c r="G138" s="23">
        <f t="shared" si="1"/>
        <v>0</v>
      </c>
      <c r="H138" s="58">
        <f>H139+H141</f>
        <v>0</v>
      </c>
      <c r="I138" s="58">
        <f>I139+I141</f>
        <v>0</v>
      </c>
      <c r="J138" s="58">
        <f>J139+J141</f>
        <v>0</v>
      </c>
      <c r="K138" s="58">
        <f>K139+K141</f>
        <v>0</v>
      </c>
      <c r="L138" s="61"/>
      <c r="M138" s="24"/>
      <c r="P138" s="25">
        <v>870</v>
      </c>
    </row>
    <row r="139" spans="3:16" ht="12.75" x14ac:dyDescent="0.2">
      <c r="C139" s="6"/>
      <c r="D139" s="55" t="s">
        <v>300</v>
      </c>
      <c r="E139" s="48" t="s">
        <v>277</v>
      </c>
      <c r="F139" s="22" t="s">
        <v>301</v>
      </c>
      <c r="G139" s="23">
        <f t="shared" si="1"/>
        <v>0</v>
      </c>
      <c r="H139" s="56"/>
      <c r="I139" s="56"/>
      <c r="J139" s="56"/>
      <c r="K139" s="56"/>
      <c r="L139" s="61"/>
      <c r="M139" s="24"/>
      <c r="P139" s="25">
        <v>880</v>
      </c>
    </row>
    <row r="140" spans="3:16" ht="12.75" x14ac:dyDescent="0.2">
      <c r="C140" s="6"/>
      <c r="D140" s="55" t="s">
        <v>302</v>
      </c>
      <c r="E140" s="49" t="s">
        <v>280</v>
      </c>
      <c r="F140" s="22" t="s">
        <v>303</v>
      </c>
      <c r="G140" s="23">
        <f t="shared" si="1"/>
        <v>0</v>
      </c>
      <c r="H140" s="56"/>
      <c r="I140" s="56"/>
      <c r="J140" s="56"/>
      <c r="K140" s="56"/>
      <c r="L140" s="61"/>
      <c r="M140" s="24"/>
      <c r="P140" s="25"/>
    </row>
    <row r="141" spans="3:16" ht="12.75" x14ac:dyDescent="0.2">
      <c r="C141" s="6"/>
      <c r="D141" s="55" t="s">
        <v>304</v>
      </c>
      <c r="E141" s="48" t="s">
        <v>283</v>
      </c>
      <c r="F141" s="22" t="s">
        <v>305</v>
      </c>
      <c r="G141" s="23">
        <f t="shared" si="1"/>
        <v>0</v>
      </c>
      <c r="H141" s="63"/>
      <c r="I141" s="63"/>
      <c r="J141" s="63"/>
      <c r="K141" s="63"/>
      <c r="L141" s="61"/>
      <c r="M141" s="24"/>
      <c r="P141" s="25">
        <v>890</v>
      </c>
    </row>
    <row r="142" spans="3:16" ht="12.75" x14ac:dyDescent="0.2">
      <c r="C142" s="6"/>
      <c r="D142" s="55" t="s">
        <v>306</v>
      </c>
      <c r="E142" s="21" t="s">
        <v>307</v>
      </c>
      <c r="F142" s="22" t="s">
        <v>308</v>
      </c>
      <c r="G142" s="23">
        <f t="shared" si="1"/>
        <v>4092.0705279999997</v>
      </c>
      <c r="H142" s="64">
        <f>SUM( H143:H144)</f>
        <v>0</v>
      </c>
      <c r="I142" s="64">
        <f>SUM( I143:I144)</f>
        <v>0</v>
      </c>
      <c r="J142" s="64">
        <f>SUM( J143:J144)</f>
        <v>503.391616</v>
      </c>
      <c r="K142" s="64">
        <f>SUM( K143:K144)</f>
        <v>3588.6789119999999</v>
      </c>
      <c r="L142" s="61"/>
      <c r="M142" s="24"/>
      <c r="P142" s="25">
        <v>900</v>
      </c>
    </row>
    <row r="143" spans="3:16" ht="12.75" x14ac:dyDescent="0.2">
      <c r="C143" s="6"/>
      <c r="D143" s="55" t="s">
        <v>309</v>
      </c>
      <c r="E143" s="26" t="s">
        <v>185</v>
      </c>
      <c r="F143" s="22" t="s">
        <v>310</v>
      </c>
      <c r="G143" s="23">
        <f t="shared" si="1"/>
        <v>4092.0705279999997</v>
      </c>
      <c r="H143" s="63"/>
      <c r="I143" s="63"/>
      <c r="J143" s="65">
        <f>J121*1.456</f>
        <v>503.391616</v>
      </c>
      <c r="K143" s="65">
        <f>K121*1.456</f>
        <v>3588.6789119999999</v>
      </c>
      <c r="L143" s="61"/>
      <c r="M143" s="24"/>
      <c r="P143" s="25"/>
    </row>
    <row r="144" spans="3:16" ht="12.75" x14ac:dyDescent="0.2">
      <c r="C144" s="6"/>
      <c r="D144" s="55" t="s">
        <v>311</v>
      </c>
      <c r="E144" s="26" t="s">
        <v>188</v>
      </c>
      <c r="F144" s="22" t="s">
        <v>312</v>
      </c>
      <c r="G144" s="23">
        <f t="shared" si="1"/>
        <v>0</v>
      </c>
      <c r="H144" s="64">
        <f>H145+H146</f>
        <v>0</v>
      </c>
      <c r="I144" s="64">
        <f>I145+I146</f>
        <v>0</v>
      </c>
      <c r="J144" s="64">
        <f>J145+J146</f>
        <v>0</v>
      </c>
      <c r="K144" s="64">
        <f>K145+K146</f>
        <v>0</v>
      </c>
      <c r="L144" s="61"/>
      <c r="M144" s="24"/>
      <c r="P144" s="25"/>
    </row>
    <row r="145" spans="3:19" ht="12.75" x14ac:dyDescent="0.2">
      <c r="C145" s="6"/>
      <c r="D145" s="55" t="s">
        <v>313</v>
      </c>
      <c r="E145" s="48" t="s">
        <v>314</v>
      </c>
      <c r="F145" s="22" t="s">
        <v>315</v>
      </c>
      <c r="G145" s="23">
        <f t="shared" si="1"/>
        <v>0</v>
      </c>
      <c r="H145" s="63"/>
      <c r="I145" s="63"/>
      <c r="J145" s="63"/>
      <c r="K145" s="63"/>
      <c r="L145" s="61"/>
      <c r="M145" s="24"/>
      <c r="P145" s="25" t="s">
        <v>316</v>
      </c>
    </row>
    <row r="146" spans="3:19" ht="12.75" x14ac:dyDescent="0.2">
      <c r="C146" s="6"/>
      <c r="D146" s="55" t="s">
        <v>317</v>
      </c>
      <c r="E146" s="48" t="s">
        <v>283</v>
      </c>
      <c r="F146" s="22" t="s">
        <v>318</v>
      </c>
      <c r="G146" s="23">
        <f t="shared" si="1"/>
        <v>0</v>
      </c>
      <c r="H146" s="63"/>
      <c r="I146" s="63"/>
      <c r="J146" s="63"/>
      <c r="K146" s="66"/>
      <c r="L146" s="61"/>
      <c r="M146" s="24"/>
      <c r="P146" s="25" t="s">
        <v>319</v>
      </c>
    </row>
    <row r="147" spans="3:19" x14ac:dyDescent="0.25">
      <c r="D147" s="11"/>
      <c r="E147" s="67"/>
      <c r="F147" s="67"/>
      <c r="G147" s="67"/>
      <c r="H147" s="67"/>
      <c r="I147" s="67"/>
      <c r="J147" s="67"/>
      <c r="K147" s="68"/>
      <c r="L147" s="68"/>
      <c r="M147" s="68"/>
      <c r="N147" s="68"/>
      <c r="O147" s="68"/>
      <c r="P147" s="68"/>
      <c r="Q147" s="68"/>
      <c r="R147" s="69"/>
      <c r="S147" s="69"/>
    </row>
    <row r="148" spans="3:19" ht="12.75" x14ac:dyDescent="0.2">
      <c r="E148" s="24" t="s">
        <v>320</v>
      </c>
      <c r="F148" s="79" t="str">
        <f>IF([2]Титульный!G45="","",[2]Титульный!G45)</f>
        <v>Коммерческий директор</v>
      </c>
      <c r="G148" s="79"/>
      <c r="H148" s="70"/>
      <c r="I148" s="79" t="str">
        <f>IF([2]Титульный!G44="","",[2]Титульный!G44)</f>
        <v>Байков Алексей Александрович</v>
      </c>
      <c r="J148" s="79"/>
      <c r="K148" s="79"/>
      <c r="L148" s="70"/>
      <c r="M148" s="71"/>
      <c r="N148" s="71"/>
      <c r="O148" s="72"/>
      <c r="P148" s="68"/>
      <c r="Q148" s="68"/>
      <c r="R148" s="69"/>
      <c r="S148" s="69"/>
    </row>
    <row r="149" spans="3:19" ht="12.75" x14ac:dyDescent="0.2">
      <c r="E149" s="73" t="s">
        <v>321</v>
      </c>
      <c r="F149" s="78" t="s">
        <v>322</v>
      </c>
      <c r="G149" s="78"/>
      <c r="H149" s="72"/>
      <c r="I149" s="78" t="s">
        <v>323</v>
      </c>
      <c r="J149" s="78"/>
      <c r="K149" s="78"/>
      <c r="L149" s="72"/>
      <c r="M149" s="78" t="s">
        <v>324</v>
      </c>
      <c r="N149" s="78"/>
      <c r="O149" s="24"/>
      <c r="P149" s="68"/>
      <c r="Q149" s="68"/>
      <c r="R149" s="69"/>
      <c r="S149" s="69"/>
    </row>
    <row r="150" spans="3:19" ht="12.75" x14ac:dyDescent="0.2">
      <c r="E150" s="73" t="s">
        <v>325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68"/>
      <c r="Q150" s="68"/>
      <c r="R150" s="69"/>
      <c r="S150" s="69"/>
    </row>
    <row r="151" spans="3:19" ht="12.75" x14ac:dyDescent="0.2">
      <c r="E151" s="73" t="s">
        <v>326</v>
      </c>
      <c r="F151" s="79" t="str">
        <f>IF([2]Титульный!G46="","",[2]Титульный!G46)</f>
        <v>(495) 637 3220</v>
      </c>
      <c r="G151" s="79"/>
      <c r="H151" s="79"/>
      <c r="I151" s="24"/>
      <c r="J151" s="73" t="s">
        <v>327</v>
      </c>
      <c r="K151" s="74"/>
      <c r="L151" s="24"/>
      <c r="M151" s="24"/>
      <c r="N151" s="24"/>
      <c r="O151" s="24"/>
      <c r="P151" s="68"/>
      <c r="Q151" s="68"/>
      <c r="R151" s="69"/>
      <c r="S151" s="69"/>
    </row>
    <row r="152" spans="3:19" ht="12.75" x14ac:dyDescent="0.2">
      <c r="E152" s="24" t="s">
        <v>328</v>
      </c>
      <c r="F152" s="80" t="s">
        <v>329</v>
      </c>
      <c r="G152" s="80"/>
      <c r="H152" s="80"/>
      <c r="I152" s="24"/>
      <c r="J152" s="75" t="s">
        <v>330</v>
      </c>
      <c r="K152" s="75"/>
      <c r="L152" s="24"/>
      <c r="M152" s="24"/>
      <c r="N152" s="24"/>
      <c r="O152" s="24"/>
      <c r="P152" s="68"/>
      <c r="Q152" s="68"/>
      <c r="R152" s="69"/>
      <c r="S152" s="69"/>
    </row>
    <row r="153" spans="3:19" x14ac:dyDescent="0.25"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9"/>
      <c r="S153" s="69"/>
    </row>
    <row r="154" spans="3:19" x14ac:dyDescent="0.25"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9"/>
      <c r="S154" s="69"/>
    </row>
    <row r="155" spans="3:19" x14ac:dyDescent="0.25"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9"/>
      <c r="S155" s="69"/>
    </row>
    <row r="156" spans="3:19" x14ac:dyDescent="0.25"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9"/>
      <c r="S156" s="69"/>
    </row>
    <row r="157" spans="3:19" x14ac:dyDescent="0.25"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9"/>
      <c r="S157" s="69"/>
    </row>
    <row r="158" spans="3:19" x14ac:dyDescent="0.25"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9"/>
      <c r="S158" s="69"/>
    </row>
    <row r="159" spans="3:19" x14ac:dyDescent="0.25"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  <c r="S159" s="69"/>
    </row>
    <row r="160" spans="3:19" x14ac:dyDescent="0.25"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9"/>
      <c r="S160" s="69"/>
    </row>
    <row r="161" spans="5:19" x14ac:dyDescent="0.25"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9"/>
      <c r="S161" s="69"/>
    </row>
    <row r="162" spans="5:19" x14ac:dyDescent="0.25"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9"/>
      <c r="S162" s="69"/>
    </row>
    <row r="163" spans="5:19" x14ac:dyDescent="0.25"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9"/>
      <c r="S163" s="69"/>
    </row>
    <row r="164" spans="5:19" x14ac:dyDescent="0.25"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9"/>
      <c r="S164" s="69"/>
    </row>
    <row r="165" spans="5:19" x14ac:dyDescent="0.25"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9"/>
      <c r="S165" s="69"/>
    </row>
    <row r="166" spans="5:19" x14ac:dyDescent="0.25"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9"/>
      <c r="S166" s="69"/>
    </row>
    <row r="167" spans="5:19" x14ac:dyDescent="0.25"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9"/>
      <c r="S167" s="69"/>
    </row>
    <row r="168" spans="5:19" x14ac:dyDescent="0.25"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9"/>
      <c r="S168" s="69"/>
    </row>
    <row r="169" spans="5:19" x14ac:dyDescent="0.25"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9"/>
      <c r="S169" s="69"/>
    </row>
    <row r="170" spans="5:19" x14ac:dyDescent="0.25"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9"/>
      <c r="S170" s="69"/>
    </row>
    <row r="171" spans="5:19" x14ac:dyDescent="0.25"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9"/>
      <c r="S171" s="69"/>
    </row>
    <row r="172" spans="5:19" x14ac:dyDescent="0.25"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9"/>
      <c r="S172" s="69"/>
    </row>
    <row r="173" spans="5:19" x14ac:dyDescent="0.25"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9"/>
      <c r="S173" s="69"/>
    </row>
    <row r="174" spans="5:19" x14ac:dyDescent="0.25"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9"/>
      <c r="S174" s="69"/>
    </row>
    <row r="175" spans="5:19" x14ac:dyDescent="0.25"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9"/>
      <c r="S175" s="69"/>
    </row>
    <row r="176" spans="5:19" x14ac:dyDescent="0.25"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9"/>
      <c r="S176" s="69"/>
    </row>
    <row r="177" spans="5:19" x14ac:dyDescent="0.25"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9"/>
      <c r="S177" s="69"/>
    </row>
    <row r="178" spans="5:19" x14ac:dyDescent="0.25"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</row>
    <row r="179" spans="5:19" x14ac:dyDescent="0.25"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5:19" x14ac:dyDescent="0.25"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5:19" x14ac:dyDescent="0.25"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</sheetData>
  <mergeCells count="18">
    <mergeCell ref="F148:G148"/>
    <mergeCell ref="I148:K148"/>
    <mergeCell ref="D8:E8"/>
    <mergeCell ref="D11:D12"/>
    <mergeCell ref="E11:E12"/>
    <mergeCell ref="F11:F12"/>
    <mergeCell ref="G11:G12"/>
    <mergeCell ref="H11:K11"/>
    <mergeCell ref="D14:K14"/>
    <mergeCell ref="D51:K51"/>
    <mergeCell ref="D88:K88"/>
    <mergeCell ref="D92:K92"/>
    <mergeCell ref="D125:K125"/>
    <mergeCell ref="F149:G149"/>
    <mergeCell ref="I149:K149"/>
    <mergeCell ref="M149:N149"/>
    <mergeCell ref="F151:H151"/>
    <mergeCell ref="F152:H152"/>
  </mergeCells>
  <dataValidations count="2">
    <dataValidation allowBlank="1" showInputMessage="1" promptTitle="Ввод" prompt="Для выбора организации необходимо два раза нажать левую клавишу мыши!" sqref="E25 E62"/>
    <dataValidation type="decimal" allowBlank="1" showErrorMessage="1" errorTitle="Ошибка" error="Допускается ввод только действительных чисел!" sqref="G27:K40 G89:K91 G93:K124 G52:K55 G23:K25 G79:K87 G20:K21 G64:K77 G42:K50 G15:K18 G126:K146 G57:K58 G60:K6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Y181"/>
  <sheetViews>
    <sheetView view="pageBreakPreview" topLeftCell="C7" zoomScaleNormal="100" zoomScaleSheetLayoutView="100" workbookViewId="0">
      <selection activeCell="K8" sqref="K8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idden="1" x14ac:dyDescent="0.25">
      <c r="S1" s="2"/>
      <c r="T1" s="2"/>
      <c r="U1" s="2"/>
      <c r="V1" s="2"/>
      <c r="Y1" s="2"/>
      <c r="AN1" s="2"/>
      <c r="AO1" s="2"/>
      <c r="AP1" s="2"/>
      <c r="BC1" s="2"/>
      <c r="BF1" s="2"/>
      <c r="BI1" s="2"/>
      <c r="BJ1" s="2"/>
      <c r="BX1" s="2"/>
      <c r="BY1" s="2"/>
    </row>
    <row r="2" spans="1:77" hidden="1" x14ac:dyDescent="0.25"/>
    <row r="3" spans="1:77" hidden="1" x14ac:dyDescent="0.25"/>
    <row r="4" spans="1:77" hidden="1" x14ac:dyDescent="0.2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idden="1" x14ac:dyDescent="0.2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idden="1" x14ac:dyDescent="0.25">
      <c r="A6" s="5"/>
    </row>
    <row r="7" spans="1:77" ht="12" customHeight="1" x14ac:dyDescent="0.25">
      <c r="A7" s="5"/>
      <c r="D7" s="6"/>
      <c r="E7" s="6"/>
      <c r="F7" s="6"/>
      <c r="G7" s="6"/>
      <c r="H7" s="6"/>
      <c r="I7" s="6"/>
      <c r="J7" s="6"/>
      <c r="K7" s="7" t="s">
        <v>337</v>
      </c>
      <c r="Q7" s="8"/>
    </row>
    <row r="8" spans="1:77" ht="22.5" customHeight="1" x14ac:dyDescent="0.25">
      <c r="A8" s="5"/>
      <c r="D8" s="81" t="s">
        <v>11</v>
      </c>
      <c r="E8" s="8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77" x14ac:dyDescent="0.25">
      <c r="A9" s="5"/>
      <c r="D9" s="10" t="str">
        <f>IF(org="","Не определено",org)</f>
        <v>ЗАО "Коттон Вэй"</v>
      </c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77" ht="12" customHeight="1" x14ac:dyDescent="0.25">
      <c r="D10" s="11"/>
      <c r="E10" s="11"/>
      <c r="F10" s="6"/>
      <c r="G10" s="6"/>
      <c r="H10" s="6"/>
      <c r="I10" s="6"/>
      <c r="K10" s="12" t="s">
        <v>12</v>
      </c>
    </row>
    <row r="11" spans="1:77" ht="15" customHeight="1" x14ac:dyDescent="0.25">
      <c r="C11" s="6"/>
      <c r="D11" s="82" t="s">
        <v>13</v>
      </c>
      <c r="E11" s="84" t="s">
        <v>14</v>
      </c>
      <c r="F11" s="84" t="s">
        <v>15</v>
      </c>
      <c r="G11" s="84" t="s">
        <v>16</v>
      </c>
      <c r="H11" s="84" t="s">
        <v>17</v>
      </c>
      <c r="I11" s="84"/>
      <c r="J11" s="84"/>
      <c r="K11" s="86"/>
      <c r="L11" s="13"/>
    </row>
    <row r="12" spans="1:77" ht="15" customHeight="1" x14ac:dyDescent="0.25">
      <c r="C12" s="6"/>
      <c r="D12" s="83"/>
      <c r="E12" s="85"/>
      <c r="F12" s="85"/>
      <c r="G12" s="85"/>
      <c r="H12" s="77" t="s">
        <v>18</v>
      </c>
      <c r="I12" s="77" t="s">
        <v>19</v>
      </c>
      <c r="J12" s="77" t="s">
        <v>20</v>
      </c>
      <c r="K12" s="15" t="s">
        <v>21</v>
      </c>
      <c r="L12" s="13"/>
    </row>
    <row r="13" spans="1:77" ht="12" customHeight="1" x14ac:dyDescent="0.25">
      <c r="D13" s="16">
        <v>0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</row>
    <row r="14" spans="1:77" s="17" customFormat="1" ht="15" customHeight="1" x14ac:dyDescent="0.25">
      <c r="C14" s="18"/>
      <c r="D14" s="87" t="s">
        <v>22</v>
      </c>
      <c r="E14" s="88"/>
      <c r="F14" s="88"/>
      <c r="G14" s="88"/>
      <c r="H14" s="88"/>
      <c r="I14" s="88"/>
      <c r="J14" s="88"/>
      <c r="K14" s="89"/>
      <c r="L14" s="19"/>
    </row>
    <row r="15" spans="1:77" s="17" customFormat="1" ht="15" customHeight="1" x14ac:dyDescent="0.2">
      <c r="C15" s="18"/>
      <c r="D15" s="20" t="s">
        <v>23</v>
      </c>
      <c r="E15" s="21" t="s">
        <v>24</v>
      </c>
      <c r="F15" s="22">
        <v>10</v>
      </c>
      <c r="G15" s="23">
        <f>SUM(H15:K15)</f>
        <v>1612.8740000000003</v>
      </c>
      <c r="H15" s="23">
        <f>H16+H17+H20+H23</f>
        <v>1238.5530000000001</v>
      </c>
      <c r="I15" s="23">
        <f>I16+I17+I20+I23</f>
        <v>0</v>
      </c>
      <c r="J15" s="23">
        <f>J16+J17+J20+J23</f>
        <v>374.32100000000003</v>
      </c>
      <c r="K15" s="23">
        <f>K16+K17+K20+K23</f>
        <v>0</v>
      </c>
      <c r="L15" s="19"/>
      <c r="M15" s="24"/>
      <c r="P15" s="25">
        <v>10</v>
      </c>
    </row>
    <row r="16" spans="1:77" s="17" customFormat="1" ht="15" customHeight="1" x14ac:dyDescent="0.2">
      <c r="C16" s="18"/>
      <c r="D16" s="20" t="s">
        <v>25</v>
      </c>
      <c r="E16" s="26" t="s">
        <v>26</v>
      </c>
      <c r="F16" s="22">
        <v>20</v>
      </c>
      <c r="G16" s="23">
        <f t="shared" ref="G16:G132" si="0">SUM(H16:K16)</f>
        <v>0</v>
      </c>
      <c r="H16" s="27"/>
      <c r="I16" s="27"/>
      <c r="J16" s="27"/>
      <c r="K16" s="27"/>
      <c r="L16" s="19"/>
      <c r="M16" s="24"/>
      <c r="P16" s="25">
        <v>20</v>
      </c>
    </row>
    <row r="17" spans="3:16" s="17" customFormat="1" ht="12.75" x14ac:dyDescent="0.2">
      <c r="C17" s="18"/>
      <c r="D17" s="20" t="s">
        <v>27</v>
      </c>
      <c r="E17" s="26" t="s">
        <v>28</v>
      </c>
      <c r="F17" s="22">
        <v>30</v>
      </c>
      <c r="G17" s="23">
        <f t="shared" si="0"/>
        <v>0</v>
      </c>
      <c r="H17" s="23">
        <f>SUM(H18:H19)</f>
        <v>0</v>
      </c>
      <c r="I17" s="23">
        <f>SUM(I18:I19)</f>
        <v>0</v>
      </c>
      <c r="J17" s="23">
        <f>SUM(J18:J19)</f>
        <v>0</v>
      </c>
      <c r="K17" s="23">
        <f>SUM(K18:K19)</f>
        <v>0</v>
      </c>
      <c r="L17" s="19"/>
      <c r="M17" s="24"/>
      <c r="P17" s="25">
        <v>30</v>
      </c>
    </row>
    <row r="18" spans="3:16" s="17" customFormat="1" ht="12.75" x14ac:dyDescent="0.2">
      <c r="C18" s="18"/>
      <c r="D18" s="28" t="s">
        <v>29</v>
      </c>
      <c r="E18" s="29"/>
      <c r="F18" s="30" t="s">
        <v>30</v>
      </c>
      <c r="G18" s="31"/>
      <c r="H18" s="31"/>
      <c r="I18" s="31"/>
      <c r="J18" s="31"/>
      <c r="K18" s="31"/>
      <c r="L18" s="19"/>
      <c r="M18" s="24"/>
      <c r="P18" s="25"/>
    </row>
    <row r="19" spans="3:16" s="17" customFormat="1" ht="12.75" x14ac:dyDescent="0.2">
      <c r="C19" s="18"/>
      <c r="D19" s="32"/>
      <c r="E19" s="33" t="s">
        <v>31</v>
      </c>
      <c r="F19" s="34"/>
      <c r="G19" s="34"/>
      <c r="H19" s="34"/>
      <c r="I19" s="34"/>
      <c r="J19" s="34"/>
      <c r="K19" s="35"/>
      <c r="L19" s="19"/>
      <c r="M19" s="24"/>
      <c r="P19" s="36"/>
    </row>
    <row r="20" spans="3:16" s="17" customFormat="1" ht="12.75" x14ac:dyDescent="0.2">
      <c r="C20" s="18"/>
      <c r="D20" s="20" t="s">
        <v>32</v>
      </c>
      <c r="E20" s="26" t="s">
        <v>33</v>
      </c>
      <c r="F20" s="22" t="s">
        <v>34</v>
      </c>
      <c r="G20" s="23">
        <f t="shared" si="0"/>
        <v>0</v>
      </c>
      <c r="H20" s="23">
        <f>SUM(H21:H22)</f>
        <v>0</v>
      </c>
      <c r="I20" s="23">
        <f>SUM(I21:I22)</f>
        <v>0</v>
      </c>
      <c r="J20" s="23">
        <f>SUM(J21:J22)</f>
        <v>0</v>
      </c>
      <c r="K20" s="23">
        <f>SUM(K21:K22)</f>
        <v>0</v>
      </c>
      <c r="L20" s="19"/>
      <c r="M20" s="24"/>
      <c r="P20" s="36"/>
    </row>
    <row r="21" spans="3:16" s="17" customFormat="1" ht="12.75" x14ac:dyDescent="0.2">
      <c r="C21" s="18"/>
      <c r="D21" s="28" t="s">
        <v>35</v>
      </c>
      <c r="E21" s="29"/>
      <c r="F21" s="30" t="s">
        <v>34</v>
      </c>
      <c r="G21" s="31"/>
      <c r="H21" s="31"/>
      <c r="I21" s="31"/>
      <c r="J21" s="31"/>
      <c r="K21" s="31"/>
      <c r="L21" s="19"/>
      <c r="M21" s="24"/>
      <c r="P21" s="25"/>
    </row>
    <row r="22" spans="3:16" s="17" customFormat="1" ht="12.75" x14ac:dyDescent="0.2">
      <c r="C22" s="18"/>
      <c r="D22" s="32"/>
      <c r="E22" s="33" t="s">
        <v>31</v>
      </c>
      <c r="F22" s="34"/>
      <c r="G22" s="34"/>
      <c r="H22" s="34"/>
      <c r="I22" s="34"/>
      <c r="J22" s="34"/>
      <c r="K22" s="35"/>
      <c r="L22" s="19"/>
      <c r="M22" s="24"/>
      <c r="P22" s="36"/>
    </row>
    <row r="23" spans="3:16" s="17" customFormat="1" ht="12.75" x14ac:dyDescent="0.2">
      <c r="C23" s="18"/>
      <c r="D23" s="20" t="s">
        <v>36</v>
      </c>
      <c r="E23" s="26" t="s">
        <v>37</v>
      </c>
      <c r="F23" s="22" t="s">
        <v>38</v>
      </c>
      <c r="G23" s="23">
        <f t="shared" si="0"/>
        <v>1612.8740000000003</v>
      </c>
      <c r="H23" s="23">
        <f>SUM(H24:H26)</f>
        <v>1238.5530000000001</v>
      </c>
      <c r="I23" s="23">
        <f>SUM(I24:I26)</f>
        <v>0</v>
      </c>
      <c r="J23" s="23">
        <f>SUM(J24:J26)</f>
        <v>374.32100000000003</v>
      </c>
      <c r="K23" s="23">
        <f>SUM(K24:K26)</f>
        <v>0</v>
      </c>
      <c r="L23" s="19"/>
      <c r="M23" s="24"/>
      <c r="P23" s="25">
        <v>40</v>
      </c>
    </row>
    <row r="24" spans="3:16" s="17" customFormat="1" ht="12.75" x14ac:dyDescent="0.2">
      <c r="C24" s="18"/>
      <c r="D24" s="28" t="s">
        <v>39</v>
      </c>
      <c r="E24" s="29"/>
      <c r="F24" s="30" t="s">
        <v>38</v>
      </c>
      <c r="G24" s="31"/>
      <c r="H24" s="31"/>
      <c r="I24" s="31"/>
      <c r="J24" s="31"/>
      <c r="K24" s="31"/>
      <c r="L24" s="19"/>
      <c r="M24" s="24"/>
      <c r="P24" s="25"/>
    </row>
    <row r="25" spans="3:16" s="17" customFormat="1" ht="15" x14ac:dyDescent="0.25">
      <c r="C25" s="37" t="s">
        <v>40</v>
      </c>
      <c r="D25" s="38" t="s">
        <v>41</v>
      </c>
      <c r="E25" s="39" t="s">
        <v>42</v>
      </c>
      <c r="F25" s="40">
        <v>431</v>
      </c>
      <c r="G25" s="41">
        <f>SUM(H25:K25)</f>
        <v>1612.8740000000003</v>
      </c>
      <c r="H25" s="42">
        <v>1238.5530000000001</v>
      </c>
      <c r="I25" s="42">
        <v>0</v>
      </c>
      <c r="J25" s="42">
        <v>374.32100000000003</v>
      </c>
      <c r="K25" s="42">
        <v>0</v>
      </c>
      <c r="L25" s="19"/>
      <c r="M25" s="43" t="s">
        <v>43</v>
      </c>
      <c r="N25" s="44" t="s">
        <v>44</v>
      </c>
      <c r="O25" s="44" t="s">
        <v>45</v>
      </c>
    </row>
    <row r="26" spans="3:16" s="17" customFormat="1" ht="12.75" x14ac:dyDescent="0.2">
      <c r="C26" s="18"/>
      <c r="D26" s="32"/>
      <c r="E26" s="33" t="s">
        <v>31</v>
      </c>
      <c r="F26" s="34"/>
      <c r="G26" s="34"/>
      <c r="H26" s="34"/>
      <c r="I26" s="34"/>
      <c r="J26" s="34"/>
      <c r="K26" s="35"/>
      <c r="L26" s="19"/>
      <c r="M26" s="24"/>
      <c r="P26" s="25"/>
    </row>
    <row r="27" spans="3:16" s="17" customFormat="1" ht="12.75" x14ac:dyDescent="0.2">
      <c r="C27" s="18"/>
      <c r="D27" s="20" t="s">
        <v>46</v>
      </c>
      <c r="E27" s="21" t="s">
        <v>47</v>
      </c>
      <c r="F27" s="22" t="s">
        <v>48</v>
      </c>
      <c r="G27" s="23">
        <f t="shared" si="0"/>
        <v>2682.8320000000003</v>
      </c>
      <c r="H27" s="23">
        <f>H29+H30+H31</f>
        <v>0</v>
      </c>
      <c r="I27" s="23">
        <f>I28+I30+I31</f>
        <v>0</v>
      </c>
      <c r="J27" s="23">
        <f>J28+J29+J31</f>
        <v>1238.5530000000001</v>
      </c>
      <c r="K27" s="23">
        <f>K28+K29+K30</f>
        <v>1444.2790000000002</v>
      </c>
      <c r="L27" s="19"/>
      <c r="M27" s="24"/>
      <c r="P27" s="25">
        <v>50</v>
      </c>
    </row>
    <row r="28" spans="3:16" s="17" customFormat="1" ht="12.75" x14ac:dyDescent="0.2">
      <c r="C28" s="18"/>
      <c r="D28" s="20" t="s">
        <v>49</v>
      </c>
      <c r="E28" s="26" t="s">
        <v>18</v>
      </c>
      <c r="F28" s="22" t="s">
        <v>50</v>
      </c>
      <c r="G28" s="23">
        <f t="shared" si="0"/>
        <v>1238.5530000000001</v>
      </c>
      <c r="H28" s="45"/>
      <c r="I28" s="27"/>
      <c r="J28" s="27">
        <f>H25</f>
        <v>1238.5530000000001</v>
      </c>
      <c r="K28" s="27"/>
      <c r="L28" s="19"/>
      <c r="M28" s="24"/>
      <c r="P28" s="25">
        <v>60</v>
      </c>
    </row>
    <row r="29" spans="3:16" s="17" customFormat="1" ht="12.75" x14ac:dyDescent="0.2">
      <c r="C29" s="18"/>
      <c r="D29" s="20" t="s">
        <v>51</v>
      </c>
      <c r="E29" s="26" t="s">
        <v>19</v>
      </c>
      <c r="F29" s="22" t="s">
        <v>52</v>
      </c>
      <c r="G29" s="23">
        <f t="shared" si="0"/>
        <v>0</v>
      </c>
      <c r="H29" s="27"/>
      <c r="I29" s="45"/>
      <c r="J29" s="27"/>
      <c r="K29" s="27"/>
      <c r="L29" s="19"/>
      <c r="M29" s="24"/>
      <c r="P29" s="25">
        <v>70</v>
      </c>
    </row>
    <row r="30" spans="3:16" s="17" customFormat="1" ht="12.75" x14ac:dyDescent="0.2">
      <c r="C30" s="18"/>
      <c r="D30" s="20" t="s">
        <v>53</v>
      </c>
      <c r="E30" s="26" t="s">
        <v>20</v>
      </c>
      <c r="F30" s="22" t="s">
        <v>54</v>
      </c>
      <c r="G30" s="23">
        <f t="shared" si="0"/>
        <v>1444.2790000000002</v>
      </c>
      <c r="H30" s="27"/>
      <c r="I30" s="27"/>
      <c r="J30" s="45"/>
      <c r="K30" s="27">
        <f>H25+J25-J36-J46</f>
        <v>1444.2790000000002</v>
      </c>
      <c r="L30" s="19"/>
      <c r="M30" s="24"/>
      <c r="P30" s="25">
        <v>80</v>
      </c>
    </row>
    <row r="31" spans="3:16" s="17" customFormat="1" ht="12.75" x14ac:dyDescent="0.2">
      <c r="C31" s="18"/>
      <c r="D31" s="20" t="s">
        <v>55</v>
      </c>
      <c r="E31" s="26" t="s">
        <v>56</v>
      </c>
      <c r="F31" s="22" t="s">
        <v>57</v>
      </c>
      <c r="G31" s="23">
        <f t="shared" si="0"/>
        <v>0</v>
      </c>
      <c r="H31" s="27"/>
      <c r="I31" s="27"/>
      <c r="J31" s="27"/>
      <c r="K31" s="45"/>
      <c r="L31" s="19"/>
      <c r="M31" s="24"/>
      <c r="P31" s="25">
        <v>90</v>
      </c>
    </row>
    <row r="32" spans="3:16" s="17" customFormat="1" ht="12.75" x14ac:dyDescent="0.2">
      <c r="C32" s="18"/>
      <c r="D32" s="20" t="s">
        <v>58</v>
      </c>
      <c r="E32" s="46" t="s">
        <v>59</v>
      </c>
      <c r="F32" s="22" t="s">
        <v>60</v>
      </c>
      <c r="G32" s="23">
        <f t="shared" si="0"/>
        <v>0</v>
      </c>
      <c r="H32" s="27"/>
      <c r="I32" s="27"/>
      <c r="J32" s="27"/>
      <c r="K32" s="27"/>
      <c r="L32" s="19"/>
      <c r="M32" s="24"/>
      <c r="P32" s="25"/>
    </row>
    <row r="33" spans="3:16" s="17" customFormat="1" ht="12.75" x14ac:dyDescent="0.2">
      <c r="C33" s="18"/>
      <c r="D33" s="20" t="s">
        <v>61</v>
      </c>
      <c r="E33" s="21" t="s">
        <v>62</v>
      </c>
      <c r="F33" s="47" t="s">
        <v>63</v>
      </c>
      <c r="G33" s="23">
        <f t="shared" si="0"/>
        <v>1582.4780000000001</v>
      </c>
      <c r="H33" s="23">
        <f>H34+H36+H39+H42</f>
        <v>0</v>
      </c>
      <c r="I33" s="23">
        <f>I34+I36+I39+I42</f>
        <v>0</v>
      </c>
      <c r="J33" s="23">
        <f>J34+J36+J39+J42</f>
        <v>168.595</v>
      </c>
      <c r="K33" s="23">
        <f>K34+K36+K39+K42</f>
        <v>1413.883</v>
      </c>
      <c r="L33" s="19"/>
      <c r="M33" s="24"/>
      <c r="P33" s="25">
        <v>100</v>
      </c>
    </row>
    <row r="34" spans="3:16" s="17" customFormat="1" ht="22.5" x14ac:dyDescent="0.2">
      <c r="C34" s="18"/>
      <c r="D34" s="20" t="s">
        <v>64</v>
      </c>
      <c r="E34" s="26" t="s">
        <v>65</v>
      </c>
      <c r="F34" s="22" t="s">
        <v>66</v>
      </c>
      <c r="G34" s="23">
        <f t="shared" si="0"/>
        <v>0</v>
      </c>
      <c r="H34" s="27"/>
      <c r="I34" s="27"/>
      <c r="J34" s="27"/>
      <c r="K34" s="27"/>
      <c r="L34" s="19"/>
      <c r="M34" s="24"/>
      <c r="P34" s="25"/>
    </row>
    <row r="35" spans="3:16" s="17" customFormat="1" ht="12.75" x14ac:dyDescent="0.2">
      <c r="C35" s="18"/>
      <c r="D35" s="20" t="s">
        <v>67</v>
      </c>
      <c r="E35" s="48" t="s">
        <v>68</v>
      </c>
      <c r="F35" s="22" t="s">
        <v>69</v>
      </c>
      <c r="G35" s="23">
        <f t="shared" si="0"/>
        <v>0</v>
      </c>
      <c r="H35" s="27"/>
      <c r="I35" s="27"/>
      <c r="J35" s="27"/>
      <c r="K35" s="27"/>
      <c r="L35" s="19"/>
      <c r="M35" s="24"/>
      <c r="P35" s="25"/>
    </row>
    <row r="36" spans="3:16" s="17" customFormat="1" ht="12.75" x14ac:dyDescent="0.2">
      <c r="C36" s="18"/>
      <c r="D36" s="20" t="s">
        <v>70</v>
      </c>
      <c r="E36" s="26" t="s">
        <v>71</v>
      </c>
      <c r="F36" s="22" t="s">
        <v>72</v>
      </c>
      <c r="G36" s="23">
        <f t="shared" si="0"/>
        <v>1582.4780000000001</v>
      </c>
      <c r="H36" s="27">
        <v>0</v>
      </c>
      <c r="I36" s="27">
        <v>0</v>
      </c>
      <c r="J36" s="27">
        <v>168.595</v>
      </c>
      <c r="K36" s="27">
        <v>1413.883</v>
      </c>
      <c r="L36" s="19"/>
      <c r="M36" s="24"/>
      <c r="P36" s="25"/>
    </row>
    <row r="37" spans="3:16" s="17" customFormat="1" ht="12.75" x14ac:dyDescent="0.2">
      <c r="C37" s="18"/>
      <c r="D37" s="20" t="s">
        <v>73</v>
      </c>
      <c r="E37" s="48" t="s">
        <v>74</v>
      </c>
      <c r="F37" s="22" t="s">
        <v>75</v>
      </c>
      <c r="G37" s="23">
        <f t="shared" si="0"/>
        <v>0</v>
      </c>
      <c r="H37" s="27"/>
      <c r="I37" s="27"/>
      <c r="J37" s="27"/>
      <c r="K37" s="27"/>
      <c r="L37" s="19"/>
      <c r="M37" s="24"/>
      <c r="P37" s="25"/>
    </row>
    <row r="38" spans="3:16" s="17" customFormat="1" ht="12.75" x14ac:dyDescent="0.2">
      <c r="C38" s="18"/>
      <c r="D38" s="20" t="s">
        <v>76</v>
      </c>
      <c r="E38" s="49" t="s">
        <v>68</v>
      </c>
      <c r="F38" s="22" t="s">
        <v>77</v>
      </c>
      <c r="G38" s="23">
        <f t="shared" si="0"/>
        <v>0</v>
      </c>
      <c r="H38" s="27"/>
      <c r="I38" s="27"/>
      <c r="J38" s="27"/>
      <c r="K38" s="27"/>
      <c r="L38" s="19"/>
      <c r="M38" s="24"/>
      <c r="P38" s="25"/>
    </row>
    <row r="39" spans="3:16" s="17" customFormat="1" ht="12.75" x14ac:dyDescent="0.2">
      <c r="C39" s="18"/>
      <c r="D39" s="20" t="s">
        <v>78</v>
      </c>
      <c r="E39" s="26" t="s">
        <v>79</v>
      </c>
      <c r="F39" s="22" t="s">
        <v>80</v>
      </c>
      <c r="G39" s="23">
        <f t="shared" si="0"/>
        <v>0</v>
      </c>
      <c r="H39" s="23">
        <f>SUM(H40:H41)</f>
        <v>0</v>
      </c>
      <c r="I39" s="23">
        <f>SUM(I40:I41)</f>
        <v>0</v>
      </c>
      <c r="J39" s="23">
        <f>SUM(J40:J41)</f>
        <v>0</v>
      </c>
      <c r="K39" s="23">
        <f>SUM(K40:K41)</f>
        <v>0</v>
      </c>
      <c r="L39" s="19"/>
      <c r="M39" s="24"/>
      <c r="P39" s="25"/>
    </row>
    <row r="40" spans="3:16" s="17" customFormat="1" ht="12.75" x14ac:dyDescent="0.2">
      <c r="C40" s="18"/>
      <c r="D40" s="28" t="s">
        <v>81</v>
      </c>
      <c r="E40" s="29"/>
      <c r="F40" s="30" t="s">
        <v>80</v>
      </c>
      <c r="G40" s="31"/>
      <c r="H40" s="31"/>
      <c r="I40" s="31"/>
      <c r="J40" s="31"/>
      <c r="K40" s="31"/>
      <c r="L40" s="19"/>
      <c r="M40" s="24"/>
      <c r="P40" s="25"/>
    </row>
    <row r="41" spans="3:16" s="17" customFormat="1" ht="12.75" x14ac:dyDescent="0.2">
      <c r="C41" s="18"/>
      <c r="D41" s="50"/>
      <c r="E41" s="33" t="s">
        <v>31</v>
      </c>
      <c r="F41" s="34"/>
      <c r="G41" s="34"/>
      <c r="H41" s="34"/>
      <c r="I41" s="34"/>
      <c r="J41" s="34"/>
      <c r="K41" s="35"/>
      <c r="L41" s="19"/>
      <c r="M41" s="24"/>
      <c r="P41" s="25"/>
    </row>
    <row r="42" spans="3:16" s="17" customFormat="1" ht="12.75" x14ac:dyDescent="0.2">
      <c r="C42" s="18"/>
      <c r="D42" s="20" t="s">
        <v>82</v>
      </c>
      <c r="E42" s="51" t="s">
        <v>83</v>
      </c>
      <c r="F42" s="22" t="s">
        <v>84</v>
      </c>
      <c r="G42" s="23">
        <f t="shared" si="0"/>
        <v>0</v>
      </c>
      <c r="H42" s="27"/>
      <c r="I42" s="27"/>
      <c r="J42" s="27"/>
      <c r="K42" s="27"/>
      <c r="L42" s="19"/>
      <c r="M42" s="24"/>
      <c r="P42" s="25">
        <v>120</v>
      </c>
    </row>
    <row r="43" spans="3:16" s="17" customFormat="1" ht="12.75" x14ac:dyDescent="0.2">
      <c r="C43" s="18"/>
      <c r="D43" s="20" t="s">
        <v>85</v>
      </c>
      <c r="E43" s="21" t="s">
        <v>86</v>
      </c>
      <c r="F43" s="22" t="s">
        <v>87</v>
      </c>
      <c r="G43" s="23">
        <f t="shared" si="0"/>
        <v>2682.8320000000003</v>
      </c>
      <c r="H43" s="27">
        <f>J28</f>
        <v>1238.5530000000001</v>
      </c>
      <c r="I43" s="27"/>
      <c r="J43" s="27">
        <f>K30</f>
        <v>1444.2790000000002</v>
      </c>
      <c r="K43" s="27"/>
      <c r="L43" s="19"/>
      <c r="M43" s="24"/>
      <c r="P43" s="25">
        <v>150</v>
      </c>
    </row>
    <row r="44" spans="3:16" s="17" customFormat="1" ht="12.75" x14ac:dyDescent="0.2">
      <c r="C44" s="18"/>
      <c r="D44" s="20" t="s">
        <v>88</v>
      </c>
      <c r="E44" s="21" t="s">
        <v>89</v>
      </c>
      <c r="F44" s="22" t="s">
        <v>90</v>
      </c>
      <c r="G44" s="23">
        <f t="shared" si="0"/>
        <v>0</v>
      </c>
      <c r="H44" s="27"/>
      <c r="I44" s="27"/>
      <c r="J44" s="27"/>
      <c r="K44" s="27"/>
      <c r="L44" s="19"/>
      <c r="M44" s="24"/>
      <c r="P44" s="25">
        <v>160</v>
      </c>
    </row>
    <row r="45" spans="3:16" s="17" customFormat="1" ht="12.75" x14ac:dyDescent="0.2">
      <c r="C45" s="18"/>
      <c r="D45" s="20" t="s">
        <v>91</v>
      </c>
      <c r="E45" s="21" t="s">
        <v>92</v>
      </c>
      <c r="F45" s="22" t="s">
        <v>93</v>
      </c>
      <c r="G45" s="23">
        <f t="shared" si="0"/>
        <v>0</v>
      </c>
      <c r="H45" s="27"/>
      <c r="I45" s="27"/>
      <c r="J45" s="27"/>
      <c r="K45" s="27"/>
      <c r="L45" s="19"/>
      <c r="M45" s="24"/>
      <c r="P45" s="25">
        <v>180</v>
      </c>
    </row>
    <row r="46" spans="3:16" s="17" customFormat="1" ht="12.75" x14ac:dyDescent="0.2">
      <c r="C46" s="18"/>
      <c r="D46" s="20" t="s">
        <v>94</v>
      </c>
      <c r="E46" s="21" t="s">
        <v>95</v>
      </c>
      <c r="F46" s="22" t="s">
        <v>96</v>
      </c>
      <c r="G46" s="23">
        <f t="shared" si="0"/>
        <v>30.396000000000186</v>
      </c>
      <c r="H46" s="27"/>
      <c r="I46" s="27"/>
      <c r="J46" s="27"/>
      <c r="K46" s="27">
        <f>G25-G36</f>
        <v>30.396000000000186</v>
      </c>
      <c r="L46" s="19"/>
      <c r="M46" s="24"/>
      <c r="P46" s="25">
        <v>190</v>
      </c>
    </row>
    <row r="47" spans="3:16" s="17" customFormat="1" ht="12.75" x14ac:dyDescent="0.2">
      <c r="C47" s="18"/>
      <c r="D47" s="20" t="s">
        <v>97</v>
      </c>
      <c r="E47" s="26" t="s">
        <v>98</v>
      </c>
      <c r="F47" s="22" t="s">
        <v>99</v>
      </c>
      <c r="G47" s="23">
        <f t="shared" si="0"/>
        <v>0</v>
      </c>
      <c r="H47" s="27"/>
      <c r="I47" s="27"/>
      <c r="J47" s="27">
        <v>0</v>
      </c>
      <c r="K47" s="27">
        <v>0</v>
      </c>
      <c r="L47" s="19"/>
      <c r="M47" s="24"/>
      <c r="P47" s="25">
        <v>200</v>
      </c>
    </row>
    <row r="48" spans="3:16" s="17" customFormat="1" ht="12.75" x14ac:dyDescent="0.2">
      <c r="C48" s="18"/>
      <c r="D48" s="20" t="s">
        <v>100</v>
      </c>
      <c r="E48" s="21" t="s">
        <v>101</v>
      </c>
      <c r="F48" s="22" t="s">
        <v>102</v>
      </c>
      <c r="G48" s="23">
        <f t="shared" si="0"/>
        <v>50.6</v>
      </c>
      <c r="H48" s="27"/>
      <c r="I48" s="27"/>
      <c r="J48" s="27"/>
      <c r="K48" s="27">
        <f>0.0506*1000</f>
        <v>50.6</v>
      </c>
      <c r="L48" s="19"/>
      <c r="M48" s="24"/>
      <c r="P48" s="36"/>
    </row>
    <row r="49" spans="3:16" s="17" customFormat="1" ht="22.5" x14ac:dyDescent="0.2">
      <c r="C49" s="18"/>
      <c r="D49" s="20" t="s">
        <v>103</v>
      </c>
      <c r="E49" s="46" t="s">
        <v>104</v>
      </c>
      <c r="F49" s="22" t="s">
        <v>105</v>
      </c>
      <c r="G49" s="23">
        <f t="shared" si="0"/>
        <v>-20.203999999999816</v>
      </c>
      <c r="H49" s="23">
        <f>H46-H48</f>
        <v>0</v>
      </c>
      <c r="I49" s="23">
        <f>I46-I48</f>
        <v>0</v>
      </c>
      <c r="J49" s="23">
        <f>J46-J48</f>
        <v>0</v>
      </c>
      <c r="K49" s="23">
        <f>K46-K48</f>
        <v>-20.203999999999816</v>
      </c>
      <c r="L49" s="19"/>
      <c r="M49" s="24"/>
      <c r="P49" s="36"/>
    </row>
    <row r="50" spans="3:16" s="17" customFormat="1" ht="12.75" x14ac:dyDescent="0.2">
      <c r="C50" s="18"/>
      <c r="D50" s="20" t="s">
        <v>106</v>
      </c>
      <c r="E50" s="21" t="s">
        <v>107</v>
      </c>
      <c r="F50" s="22" t="s">
        <v>108</v>
      </c>
      <c r="G50" s="23">
        <f t="shared" si="0"/>
        <v>0</v>
      </c>
      <c r="H50" s="23">
        <f>(H15+H27+H32)-(H33+H43+H44+H45+H46)</f>
        <v>0</v>
      </c>
      <c r="I50" s="23">
        <f>(I15+I27+I32)-(I33+I43+I44+I45+I46)</f>
        <v>0</v>
      </c>
      <c r="J50" s="23">
        <f>(J15+J27+J32)-(J33+J43+J44+J45+J46)</f>
        <v>0</v>
      </c>
      <c r="K50" s="23">
        <f>(K15+K27+K32)-(K33+K43+K44+K45+K46)</f>
        <v>0</v>
      </c>
      <c r="L50" s="19"/>
      <c r="M50" s="24"/>
      <c r="P50" s="25">
        <v>210</v>
      </c>
    </row>
    <row r="51" spans="3:16" s="17" customFormat="1" ht="12.75" x14ac:dyDescent="0.2">
      <c r="C51" s="18"/>
      <c r="D51" s="87" t="s">
        <v>109</v>
      </c>
      <c r="E51" s="88"/>
      <c r="F51" s="88"/>
      <c r="G51" s="88"/>
      <c r="H51" s="88"/>
      <c r="I51" s="88"/>
      <c r="J51" s="88"/>
      <c r="K51" s="89"/>
      <c r="L51" s="19"/>
      <c r="M51" s="24"/>
      <c r="P51" s="36"/>
    </row>
    <row r="52" spans="3:16" s="17" customFormat="1" ht="12.75" x14ac:dyDescent="0.2">
      <c r="C52" s="18"/>
      <c r="D52" s="20" t="s">
        <v>110</v>
      </c>
      <c r="E52" s="21" t="s">
        <v>24</v>
      </c>
      <c r="F52" s="22" t="s">
        <v>111</v>
      </c>
      <c r="G52" s="23">
        <f t="shared" si="0"/>
        <v>4.1071999999999997</v>
      </c>
      <c r="H52" s="23">
        <f>H53+H54+H57+H60</f>
        <v>0.98572799999999994</v>
      </c>
      <c r="I52" s="23">
        <f>I53+I54+I57+I60</f>
        <v>0</v>
      </c>
      <c r="J52" s="23">
        <f>J53+J54+J57+J60</f>
        <v>3.1214719999999998</v>
      </c>
      <c r="K52" s="23">
        <f>K53+K54+K57+K60</f>
        <v>0</v>
      </c>
      <c r="L52" s="19"/>
      <c r="M52" s="24"/>
      <c r="P52" s="25">
        <v>300</v>
      </c>
    </row>
    <row r="53" spans="3:16" s="17" customFormat="1" ht="12.75" x14ac:dyDescent="0.2">
      <c r="C53" s="18"/>
      <c r="D53" s="20" t="s">
        <v>112</v>
      </c>
      <c r="E53" s="26" t="s">
        <v>26</v>
      </c>
      <c r="F53" s="22" t="s">
        <v>113</v>
      </c>
      <c r="G53" s="23">
        <f t="shared" si="0"/>
        <v>0</v>
      </c>
      <c r="H53" s="27"/>
      <c r="I53" s="27"/>
      <c r="J53" s="27"/>
      <c r="K53" s="27"/>
      <c r="L53" s="19"/>
      <c r="M53" s="24"/>
      <c r="P53" s="25">
        <v>310</v>
      </c>
    </row>
    <row r="54" spans="3:16" s="17" customFormat="1" ht="12.75" x14ac:dyDescent="0.2">
      <c r="C54" s="18"/>
      <c r="D54" s="20" t="s">
        <v>114</v>
      </c>
      <c r="E54" s="26" t="s">
        <v>28</v>
      </c>
      <c r="F54" s="22" t="s">
        <v>115</v>
      </c>
      <c r="G54" s="23">
        <f t="shared" si="0"/>
        <v>0</v>
      </c>
      <c r="H54" s="23">
        <f>SUM(H55:H56)</f>
        <v>0</v>
      </c>
      <c r="I54" s="23">
        <f>SUM(I55:I56)</f>
        <v>0</v>
      </c>
      <c r="J54" s="23">
        <f>SUM(J55:J56)</f>
        <v>0</v>
      </c>
      <c r="K54" s="23">
        <f>SUM(K55:K56)</f>
        <v>0</v>
      </c>
      <c r="L54" s="19"/>
      <c r="M54" s="24"/>
      <c r="P54" s="25">
        <v>320</v>
      </c>
    </row>
    <row r="55" spans="3:16" s="17" customFormat="1" ht="12.75" x14ac:dyDescent="0.2">
      <c r="C55" s="18"/>
      <c r="D55" s="28" t="s">
        <v>116</v>
      </c>
      <c r="E55" s="29"/>
      <c r="F55" s="30" t="s">
        <v>115</v>
      </c>
      <c r="G55" s="31"/>
      <c r="H55" s="31"/>
      <c r="I55" s="31"/>
      <c r="J55" s="31"/>
      <c r="K55" s="31"/>
      <c r="L55" s="19"/>
      <c r="M55" s="24"/>
      <c r="P55" s="25"/>
    </row>
    <row r="56" spans="3:16" s="17" customFormat="1" ht="12.75" x14ac:dyDescent="0.2">
      <c r="C56" s="18"/>
      <c r="D56" s="32"/>
      <c r="E56" s="33" t="s">
        <v>31</v>
      </c>
      <c r="F56" s="34"/>
      <c r="G56" s="34"/>
      <c r="H56" s="34"/>
      <c r="I56" s="34"/>
      <c r="J56" s="34"/>
      <c r="K56" s="35"/>
      <c r="L56" s="19"/>
      <c r="M56" s="24"/>
      <c r="P56" s="25"/>
    </row>
    <row r="57" spans="3:16" s="17" customFormat="1" ht="12.75" x14ac:dyDescent="0.2">
      <c r="C57" s="18"/>
      <c r="D57" s="20" t="s">
        <v>117</v>
      </c>
      <c r="E57" s="26" t="s">
        <v>33</v>
      </c>
      <c r="F57" s="22" t="s">
        <v>118</v>
      </c>
      <c r="G57" s="23">
        <f t="shared" si="0"/>
        <v>0</v>
      </c>
      <c r="H57" s="23">
        <f>SUM(H58:H59)</f>
        <v>0</v>
      </c>
      <c r="I57" s="23">
        <f>SUM(I58:I59)</f>
        <v>0</v>
      </c>
      <c r="J57" s="23">
        <f>SUM(J58:J59)</f>
        <v>0</v>
      </c>
      <c r="K57" s="23">
        <f>SUM(K58:K59)</f>
        <v>0</v>
      </c>
      <c r="L57" s="19"/>
      <c r="M57" s="24"/>
      <c r="P57" s="25"/>
    </row>
    <row r="58" spans="3:16" s="17" customFormat="1" ht="12.75" x14ac:dyDescent="0.2">
      <c r="C58" s="18"/>
      <c r="D58" s="28" t="s">
        <v>119</v>
      </c>
      <c r="E58" s="29"/>
      <c r="F58" s="30" t="s">
        <v>118</v>
      </c>
      <c r="G58" s="31"/>
      <c r="H58" s="31"/>
      <c r="I58" s="31"/>
      <c r="J58" s="31"/>
      <c r="K58" s="31"/>
      <c r="L58" s="19"/>
      <c r="M58" s="24"/>
      <c r="P58" s="25"/>
    </row>
    <row r="59" spans="3:16" s="17" customFormat="1" ht="12.75" x14ac:dyDescent="0.2">
      <c r="C59" s="18"/>
      <c r="D59" s="32"/>
      <c r="E59" s="33" t="s">
        <v>31</v>
      </c>
      <c r="F59" s="34"/>
      <c r="G59" s="34"/>
      <c r="H59" s="34"/>
      <c r="I59" s="34"/>
      <c r="J59" s="34"/>
      <c r="K59" s="35"/>
      <c r="L59" s="19"/>
      <c r="M59" s="24"/>
      <c r="P59" s="25"/>
    </row>
    <row r="60" spans="3:16" s="17" customFormat="1" ht="12.75" x14ac:dyDescent="0.2">
      <c r="C60" s="18"/>
      <c r="D60" s="20" t="s">
        <v>120</v>
      </c>
      <c r="E60" s="26" t="s">
        <v>37</v>
      </c>
      <c r="F60" s="22" t="s">
        <v>121</v>
      </c>
      <c r="G60" s="23">
        <f t="shared" si="0"/>
        <v>4.1071999999999997</v>
      </c>
      <c r="H60" s="23">
        <f>SUM(H61:H63)</f>
        <v>0.98572799999999994</v>
      </c>
      <c r="I60" s="23">
        <f>SUM(I61:I63)</f>
        <v>0</v>
      </c>
      <c r="J60" s="23">
        <f>SUM(J61:J63)</f>
        <v>3.1214719999999998</v>
      </c>
      <c r="K60" s="23">
        <f>SUM(K61:K63)</f>
        <v>0</v>
      </c>
      <c r="L60" s="19"/>
      <c r="M60" s="24"/>
      <c r="P60" s="25">
        <v>330</v>
      </c>
    </row>
    <row r="61" spans="3:16" s="17" customFormat="1" ht="12.75" x14ac:dyDescent="0.2">
      <c r="C61" s="18"/>
      <c r="D61" s="28" t="s">
        <v>122</v>
      </c>
      <c r="E61" s="29"/>
      <c r="F61" s="30" t="s">
        <v>121</v>
      </c>
      <c r="G61" s="31"/>
      <c r="H61" s="31"/>
      <c r="I61" s="31"/>
      <c r="J61" s="31"/>
      <c r="K61" s="31"/>
      <c r="L61" s="19"/>
      <c r="M61" s="24"/>
      <c r="P61" s="25"/>
    </row>
    <row r="62" spans="3:16" s="17" customFormat="1" ht="15" x14ac:dyDescent="0.25">
      <c r="C62" s="37" t="s">
        <v>40</v>
      </c>
      <c r="D62" s="38" t="s">
        <v>123</v>
      </c>
      <c r="E62" s="39" t="s">
        <v>42</v>
      </c>
      <c r="F62" s="40">
        <v>1461</v>
      </c>
      <c r="G62" s="41">
        <f>SUM(H62:K62)</f>
        <v>4.1071999999999997</v>
      </c>
      <c r="H62" s="52">
        <f>4.1072*0.24</f>
        <v>0.98572799999999994</v>
      </c>
      <c r="I62" s="52">
        <v>0</v>
      </c>
      <c r="J62" s="52">
        <f>4.1072-H62</f>
        <v>3.1214719999999998</v>
      </c>
      <c r="K62" s="53">
        <v>0</v>
      </c>
      <c r="L62" s="19"/>
      <c r="M62" s="43" t="s">
        <v>43</v>
      </c>
      <c r="N62" s="44" t="s">
        <v>44</v>
      </c>
      <c r="O62" s="44" t="s">
        <v>45</v>
      </c>
    </row>
    <row r="63" spans="3:16" s="17" customFormat="1" ht="12.75" x14ac:dyDescent="0.2">
      <c r="C63" s="18"/>
      <c r="D63" s="32"/>
      <c r="E63" s="33" t="s">
        <v>31</v>
      </c>
      <c r="F63" s="34"/>
      <c r="G63" s="34"/>
      <c r="H63" s="34"/>
      <c r="I63" s="34"/>
      <c r="J63" s="34"/>
      <c r="K63" s="35"/>
      <c r="L63" s="19"/>
      <c r="M63" s="24"/>
      <c r="P63" s="25"/>
    </row>
    <row r="64" spans="3:16" s="17" customFormat="1" ht="12.75" x14ac:dyDescent="0.2">
      <c r="C64" s="18"/>
      <c r="D64" s="20" t="s">
        <v>124</v>
      </c>
      <c r="E64" s="21" t="s">
        <v>47</v>
      </c>
      <c r="F64" s="22" t="s">
        <v>125</v>
      </c>
      <c r="G64" s="23">
        <f t="shared" si="0"/>
        <v>4.1380879999999998</v>
      </c>
      <c r="H64" s="23">
        <f>H66+H67+H68</f>
        <v>0</v>
      </c>
      <c r="I64" s="23">
        <f>I65+I67+I68</f>
        <v>0</v>
      </c>
      <c r="J64" s="23">
        <f>J65+J66+J68</f>
        <v>0.98572799999999994</v>
      </c>
      <c r="K64" s="23">
        <f>K65+K66+K67</f>
        <v>3.1523599999999998</v>
      </c>
      <c r="L64" s="19"/>
      <c r="M64" s="24"/>
      <c r="P64" s="25">
        <v>340</v>
      </c>
    </row>
    <row r="65" spans="3:16" s="17" customFormat="1" ht="12.75" x14ac:dyDescent="0.2">
      <c r="C65" s="18"/>
      <c r="D65" s="20" t="s">
        <v>126</v>
      </c>
      <c r="E65" s="26" t="s">
        <v>18</v>
      </c>
      <c r="F65" s="22" t="s">
        <v>127</v>
      </c>
      <c r="G65" s="23">
        <f t="shared" si="0"/>
        <v>0.98572799999999994</v>
      </c>
      <c r="H65" s="45"/>
      <c r="I65" s="27"/>
      <c r="J65" s="27">
        <f>H62</f>
        <v>0.98572799999999994</v>
      </c>
      <c r="K65" s="27"/>
      <c r="L65" s="19"/>
      <c r="M65" s="24"/>
      <c r="P65" s="25">
        <v>350</v>
      </c>
    </row>
    <row r="66" spans="3:16" s="17" customFormat="1" ht="12.75" x14ac:dyDescent="0.2">
      <c r="C66" s="18"/>
      <c r="D66" s="20" t="s">
        <v>128</v>
      </c>
      <c r="E66" s="26" t="s">
        <v>19</v>
      </c>
      <c r="F66" s="22" t="s">
        <v>129</v>
      </c>
      <c r="G66" s="23">
        <f t="shared" si="0"/>
        <v>0</v>
      </c>
      <c r="H66" s="27"/>
      <c r="I66" s="54"/>
      <c r="J66" s="27"/>
      <c r="K66" s="27"/>
      <c r="L66" s="19"/>
      <c r="M66" s="24"/>
      <c r="P66" s="25">
        <v>360</v>
      </c>
    </row>
    <row r="67" spans="3:16" s="17" customFormat="1" ht="12.75" x14ac:dyDescent="0.2">
      <c r="C67" s="18"/>
      <c r="D67" s="20" t="s">
        <v>130</v>
      </c>
      <c r="E67" s="26" t="s">
        <v>20</v>
      </c>
      <c r="F67" s="22" t="s">
        <v>131</v>
      </c>
      <c r="G67" s="23">
        <f t="shared" si="0"/>
        <v>3.1523599999999998</v>
      </c>
      <c r="H67" s="27"/>
      <c r="I67" s="27"/>
      <c r="J67" s="45"/>
      <c r="K67" s="27">
        <f>K73+K83</f>
        <v>3.1523599999999998</v>
      </c>
      <c r="L67" s="19"/>
      <c r="M67" s="24"/>
      <c r="P67" s="25">
        <v>370</v>
      </c>
    </row>
    <row r="68" spans="3:16" s="17" customFormat="1" ht="12.75" x14ac:dyDescent="0.2">
      <c r="C68" s="18"/>
      <c r="D68" s="20" t="s">
        <v>132</v>
      </c>
      <c r="E68" s="26" t="s">
        <v>56</v>
      </c>
      <c r="F68" s="22" t="s">
        <v>133</v>
      </c>
      <c r="G68" s="23">
        <f t="shared" si="0"/>
        <v>0</v>
      </c>
      <c r="H68" s="27"/>
      <c r="I68" s="27"/>
      <c r="J68" s="27"/>
      <c r="K68" s="45"/>
      <c r="L68" s="19"/>
      <c r="M68" s="24"/>
      <c r="P68" s="25">
        <v>380</v>
      </c>
    </row>
    <row r="69" spans="3:16" s="17" customFormat="1" ht="12.75" x14ac:dyDescent="0.2">
      <c r="C69" s="18"/>
      <c r="D69" s="20" t="s">
        <v>134</v>
      </c>
      <c r="E69" s="46" t="s">
        <v>59</v>
      </c>
      <c r="F69" s="22" t="s">
        <v>135</v>
      </c>
      <c r="G69" s="23">
        <f t="shared" si="0"/>
        <v>0</v>
      </c>
      <c r="H69" s="27"/>
      <c r="I69" s="27"/>
      <c r="J69" s="27"/>
      <c r="K69" s="27"/>
      <c r="L69" s="19"/>
      <c r="M69" s="24"/>
      <c r="P69" s="25"/>
    </row>
    <row r="70" spans="3:16" s="17" customFormat="1" ht="12.75" x14ac:dyDescent="0.2">
      <c r="C70" s="18"/>
      <c r="D70" s="20" t="s">
        <v>136</v>
      </c>
      <c r="E70" s="21" t="s">
        <v>62</v>
      </c>
      <c r="F70" s="47" t="s">
        <v>137</v>
      </c>
      <c r="G70" s="23">
        <f t="shared" si="0"/>
        <v>3.9784999999999999</v>
      </c>
      <c r="H70" s="23">
        <f>H71+H73+H76+H79</f>
        <v>0</v>
      </c>
      <c r="I70" s="23">
        <f>I71+I73+I76+I79</f>
        <v>0</v>
      </c>
      <c r="J70" s="23">
        <f>J71+J73+J76+J79</f>
        <v>0.95483999999999991</v>
      </c>
      <c r="K70" s="23">
        <f>K71+K73+K76+K79</f>
        <v>3.02366</v>
      </c>
      <c r="L70" s="19"/>
      <c r="M70" s="24"/>
      <c r="P70" s="25">
        <v>390</v>
      </c>
    </row>
    <row r="71" spans="3:16" s="17" customFormat="1" ht="22.5" x14ac:dyDescent="0.2">
      <c r="C71" s="18"/>
      <c r="D71" s="20" t="s">
        <v>138</v>
      </c>
      <c r="E71" s="26" t="s">
        <v>65</v>
      </c>
      <c r="F71" s="22" t="s">
        <v>139</v>
      </c>
      <c r="G71" s="23">
        <f t="shared" si="0"/>
        <v>0</v>
      </c>
      <c r="H71" s="27"/>
      <c r="I71" s="27"/>
      <c r="J71" s="27"/>
      <c r="K71" s="27"/>
      <c r="L71" s="19"/>
      <c r="M71" s="24"/>
      <c r="P71" s="25"/>
    </row>
    <row r="72" spans="3:16" s="17" customFormat="1" ht="12.75" x14ac:dyDescent="0.2">
      <c r="C72" s="18"/>
      <c r="D72" s="20" t="s">
        <v>140</v>
      </c>
      <c r="E72" s="48" t="s">
        <v>68</v>
      </c>
      <c r="F72" s="22" t="s">
        <v>141</v>
      </c>
      <c r="G72" s="23">
        <f t="shared" si="0"/>
        <v>0</v>
      </c>
      <c r="H72" s="27"/>
      <c r="I72" s="27"/>
      <c r="J72" s="27"/>
      <c r="K72" s="27"/>
      <c r="L72" s="19"/>
      <c r="M72" s="24"/>
      <c r="P72" s="25"/>
    </row>
    <row r="73" spans="3:16" s="17" customFormat="1" ht="12.75" x14ac:dyDescent="0.2">
      <c r="C73" s="18"/>
      <c r="D73" s="20" t="s">
        <v>142</v>
      </c>
      <c r="E73" s="26" t="s">
        <v>71</v>
      </c>
      <c r="F73" s="22" t="s">
        <v>143</v>
      </c>
      <c r="G73" s="23">
        <f t="shared" si="0"/>
        <v>3.9784999999999999</v>
      </c>
      <c r="H73" s="27">
        <v>0</v>
      </c>
      <c r="I73" s="27">
        <v>0</v>
      </c>
      <c r="J73" s="27">
        <f>3.9785*0.24</f>
        <v>0.95483999999999991</v>
      </c>
      <c r="K73" s="27">
        <f>3.9785-J73</f>
        <v>3.02366</v>
      </c>
      <c r="L73" s="19"/>
      <c r="M73" s="24"/>
      <c r="P73" s="25"/>
    </row>
    <row r="74" spans="3:16" s="17" customFormat="1" ht="12.75" x14ac:dyDescent="0.2">
      <c r="C74" s="18"/>
      <c r="D74" s="20" t="s">
        <v>144</v>
      </c>
      <c r="E74" s="48" t="s">
        <v>74</v>
      </c>
      <c r="F74" s="22" t="s">
        <v>145</v>
      </c>
      <c r="G74" s="23">
        <f t="shared" si="0"/>
        <v>0</v>
      </c>
      <c r="H74" s="27"/>
      <c r="I74" s="27"/>
      <c r="J74" s="27"/>
      <c r="K74" s="27"/>
      <c r="L74" s="19"/>
      <c r="M74" s="24"/>
      <c r="P74" s="25"/>
    </row>
    <row r="75" spans="3:16" s="17" customFormat="1" ht="12.75" x14ac:dyDescent="0.2">
      <c r="C75" s="18"/>
      <c r="D75" s="20" t="s">
        <v>146</v>
      </c>
      <c r="E75" s="49" t="s">
        <v>68</v>
      </c>
      <c r="F75" s="22" t="s">
        <v>147</v>
      </c>
      <c r="G75" s="23">
        <f t="shared" si="0"/>
        <v>0</v>
      </c>
      <c r="H75" s="27"/>
      <c r="I75" s="27"/>
      <c r="J75" s="27"/>
      <c r="K75" s="27"/>
      <c r="L75" s="19"/>
      <c r="M75" s="24"/>
      <c r="P75" s="25"/>
    </row>
    <row r="76" spans="3:16" s="17" customFormat="1" ht="12.75" x14ac:dyDescent="0.2">
      <c r="C76" s="18"/>
      <c r="D76" s="20" t="s">
        <v>148</v>
      </c>
      <c r="E76" s="26" t="s">
        <v>79</v>
      </c>
      <c r="F76" s="22" t="s">
        <v>149</v>
      </c>
      <c r="G76" s="23">
        <f t="shared" si="0"/>
        <v>0</v>
      </c>
      <c r="H76" s="23">
        <f>SUM(H77:H78)</f>
        <v>0</v>
      </c>
      <c r="I76" s="23">
        <f>SUM(I77:I78)</f>
        <v>0</v>
      </c>
      <c r="J76" s="23">
        <f>SUM(J77:J78)</f>
        <v>0</v>
      </c>
      <c r="K76" s="23">
        <f>SUM(K77:K78)</f>
        <v>0</v>
      </c>
      <c r="L76" s="19"/>
      <c r="M76" s="24"/>
      <c r="P76" s="25"/>
    </row>
    <row r="77" spans="3:16" s="17" customFormat="1" ht="12.75" x14ac:dyDescent="0.2">
      <c r="C77" s="18"/>
      <c r="D77" s="28" t="s">
        <v>150</v>
      </c>
      <c r="E77" s="29"/>
      <c r="F77" s="30" t="s">
        <v>149</v>
      </c>
      <c r="G77" s="31"/>
      <c r="H77" s="31"/>
      <c r="I77" s="31"/>
      <c r="J77" s="31"/>
      <c r="K77" s="31"/>
      <c r="L77" s="19"/>
      <c r="M77" s="24"/>
      <c r="P77" s="25"/>
    </row>
    <row r="78" spans="3:16" s="17" customFormat="1" ht="12.75" x14ac:dyDescent="0.2">
      <c r="C78" s="18"/>
      <c r="D78" s="32"/>
      <c r="E78" s="33" t="s">
        <v>31</v>
      </c>
      <c r="F78" s="34"/>
      <c r="G78" s="34"/>
      <c r="H78" s="34"/>
      <c r="I78" s="34"/>
      <c r="J78" s="34"/>
      <c r="K78" s="35"/>
      <c r="L78" s="19"/>
      <c r="M78" s="24"/>
      <c r="P78" s="25"/>
    </row>
    <row r="79" spans="3:16" s="17" customFormat="1" ht="12.75" x14ac:dyDescent="0.2">
      <c r="C79" s="18"/>
      <c r="D79" s="20" t="s">
        <v>151</v>
      </c>
      <c r="E79" s="51" t="s">
        <v>83</v>
      </c>
      <c r="F79" s="22" t="s">
        <v>152</v>
      </c>
      <c r="G79" s="23">
        <f t="shared" si="0"/>
        <v>0</v>
      </c>
      <c r="H79" s="27"/>
      <c r="I79" s="27"/>
      <c r="J79" s="27"/>
      <c r="K79" s="27"/>
      <c r="L79" s="19"/>
      <c r="M79" s="24"/>
      <c r="P79" s="25">
        <v>410</v>
      </c>
    </row>
    <row r="80" spans="3:16" s="17" customFormat="1" ht="12.75" x14ac:dyDescent="0.2">
      <c r="C80" s="18"/>
      <c r="D80" s="20" t="s">
        <v>153</v>
      </c>
      <c r="E80" s="21" t="s">
        <v>86</v>
      </c>
      <c r="F80" s="22" t="s">
        <v>154</v>
      </c>
      <c r="G80" s="23">
        <f t="shared" si="0"/>
        <v>4.1380879999999998</v>
      </c>
      <c r="H80" s="27">
        <f>H62</f>
        <v>0.98572799999999994</v>
      </c>
      <c r="I80" s="27"/>
      <c r="J80" s="27">
        <f>K67</f>
        <v>3.1523599999999998</v>
      </c>
      <c r="K80" s="27"/>
      <c r="L80" s="19"/>
      <c r="M80" s="24"/>
      <c r="P80" s="25">
        <v>440</v>
      </c>
    </row>
    <row r="81" spans="3:16" s="17" customFormat="1" ht="12.75" x14ac:dyDescent="0.2">
      <c r="C81" s="18"/>
      <c r="D81" s="20" t="s">
        <v>155</v>
      </c>
      <c r="E81" s="21" t="s">
        <v>89</v>
      </c>
      <c r="F81" s="22" t="s">
        <v>156</v>
      </c>
      <c r="G81" s="23">
        <f t="shared" si="0"/>
        <v>0</v>
      </c>
      <c r="H81" s="27"/>
      <c r="I81" s="27"/>
      <c r="J81" s="27"/>
      <c r="K81" s="27"/>
      <c r="L81" s="19"/>
      <c r="M81" s="24"/>
      <c r="P81" s="25">
        <v>450</v>
      </c>
    </row>
    <row r="82" spans="3:16" s="17" customFormat="1" ht="12.75" x14ac:dyDescent="0.2">
      <c r="C82" s="18"/>
      <c r="D82" s="20" t="s">
        <v>157</v>
      </c>
      <c r="E82" s="21" t="s">
        <v>92</v>
      </c>
      <c r="F82" s="22" t="s">
        <v>158</v>
      </c>
      <c r="G82" s="23">
        <f t="shared" si="0"/>
        <v>0</v>
      </c>
      <c r="H82" s="27"/>
      <c r="I82" s="27"/>
      <c r="J82" s="27"/>
      <c r="K82" s="27"/>
      <c r="L82" s="19"/>
      <c r="M82" s="24"/>
      <c r="P82" s="25">
        <v>470</v>
      </c>
    </row>
    <row r="83" spans="3:16" s="17" customFormat="1" ht="12.75" x14ac:dyDescent="0.2">
      <c r="C83" s="18"/>
      <c r="D83" s="20" t="s">
        <v>159</v>
      </c>
      <c r="E83" s="21" t="s">
        <v>95</v>
      </c>
      <c r="F83" s="22" t="s">
        <v>160</v>
      </c>
      <c r="G83" s="23">
        <f t="shared" si="0"/>
        <v>0.12869999999999981</v>
      </c>
      <c r="H83" s="27"/>
      <c r="I83" s="27"/>
      <c r="J83" s="27"/>
      <c r="K83" s="27">
        <f>G62-G73</f>
        <v>0.12869999999999981</v>
      </c>
      <c r="L83" s="19"/>
      <c r="M83" s="24"/>
      <c r="P83" s="25">
        <v>480</v>
      </c>
    </row>
    <row r="84" spans="3:16" s="17" customFormat="1" ht="12.75" x14ac:dyDescent="0.2">
      <c r="C84" s="18"/>
      <c r="D84" s="20" t="s">
        <v>161</v>
      </c>
      <c r="E84" s="26" t="s">
        <v>162</v>
      </c>
      <c r="F84" s="22" t="s">
        <v>163</v>
      </c>
      <c r="G84" s="23">
        <f t="shared" si="0"/>
        <v>0</v>
      </c>
      <c r="H84" s="27"/>
      <c r="I84" s="27"/>
      <c r="J84" s="27"/>
      <c r="K84" s="27"/>
      <c r="L84" s="19"/>
      <c r="M84" s="24"/>
      <c r="P84" s="25">
        <v>490</v>
      </c>
    </row>
    <row r="85" spans="3:16" s="17" customFormat="1" ht="12.75" x14ac:dyDescent="0.2">
      <c r="C85" s="18"/>
      <c r="D85" s="20" t="s">
        <v>164</v>
      </c>
      <c r="E85" s="21" t="s">
        <v>101</v>
      </c>
      <c r="F85" s="22" t="s">
        <v>165</v>
      </c>
      <c r="G85" s="23">
        <f t="shared" si="0"/>
        <v>0.13719999999999999</v>
      </c>
      <c r="H85" s="27"/>
      <c r="I85" s="27"/>
      <c r="J85" s="27"/>
      <c r="K85" s="27">
        <v>0.13719999999999999</v>
      </c>
      <c r="L85" s="19"/>
      <c r="M85" s="24"/>
      <c r="P85" s="25"/>
    </row>
    <row r="86" spans="3:16" s="17" customFormat="1" ht="22.5" x14ac:dyDescent="0.2">
      <c r="C86" s="18"/>
      <c r="D86" s="20" t="s">
        <v>166</v>
      </c>
      <c r="E86" s="46" t="s">
        <v>104</v>
      </c>
      <c r="F86" s="22" t="s">
        <v>167</v>
      </c>
      <c r="G86" s="23">
        <f t="shared" si="0"/>
        <v>-8.5000000000001741E-3</v>
      </c>
      <c r="H86" s="23">
        <f>H83-H85</f>
        <v>0</v>
      </c>
      <c r="I86" s="23">
        <f>I83-I85</f>
        <v>0</v>
      </c>
      <c r="J86" s="23">
        <f>J83-J85</f>
        <v>0</v>
      </c>
      <c r="K86" s="23">
        <f>K83-K85</f>
        <v>-8.5000000000001741E-3</v>
      </c>
      <c r="L86" s="19"/>
      <c r="M86" s="24"/>
      <c r="P86" s="25"/>
    </row>
    <row r="87" spans="3:16" s="17" customFormat="1" ht="12.75" x14ac:dyDescent="0.2">
      <c r="C87" s="18"/>
      <c r="D87" s="20" t="s">
        <v>168</v>
      </c>
      <c r="E87" s="21" t="s">
        <v>107</v>
      </c>
      <c r="F87" s="22" t="s">
        <v>169</v>
      </c>
      <c r="G87" s="23">
        <f t="shared" si="0"/>
        <v>0</v>
      </c>
      <c r="H87" s="23">
        <f>(H52+H64+H69)-(H70+H80+H81+H82+H83)</f>
        <v>0</v>
      </c>
      <c r="I87" s="23">
        <f>(I52+I64+I69)-(I70+I80+I81+I82+I83)</f>
        <v>0</v>
      </c>
      <c r="J87" s="23">
        <f>(J52+J64+J69)-(J70+J80+J81+J82+J83)</f>
        <v>0</v>
      </c>
      <c r="K87" s="23">
        <f>(K52+K64+K69)-(K70+K80+K81+K82+K83)</f>
        <v>0</v>
      </c>
      <c r="L87" s="19"/>
      <c r="M87" s="24"/>
      <c r="P87" s="25">
        <v>500</v>
      </c>
    </row>
    <row r="88" spans="3:16" s="17" customFormat="1" ht="12.75" x14ac:dyDescent="0.2">
      <c r="C88" s="18"/>
      <c r="D88" s="87" t="s">
        <v>170</v>
      </c>
      <c r="E88" s="88"/>
      <c r="F88" s="88"/>
      <c r="G88" s="88"/>
      <c r="H88" s="88"/>
      <c r="I88" s="88"/>
      <c r="J88" s="88"/>
      <c r="K88" s="89"/>
      <c r="L88" s="19"/>
      <c r="M88" s="24"/>
      <c r="P88" s="36"/>
    </row>
    <row r="89" spans="3:16" s="17" customFormat="1" ht="12.75" x14ac:dyDescent="0.2">
      <c r="C89" s="18"/>
      <c r="D89" s="20" t="s">
        <v>171</v>
      </c>
      <c r="E89" s="21" t="s">
        <v>172</v>
      </c>
      <c r="F89" s="22" t="s">
        <v>173</v>
      </c>
      <c r="G89" s="23">
        <f t="shared" si="0"/>
        <v>3.9784999999999999</v>
      </c>
      <c r="H89" s="27"/>
      <c r="I89" s="27"/>
      <c r="J89" s="42">
        <f>J73</f>
        <v>0.95483999999999991</v>
      </c>
      <c r="K89" s="42">
        <f>K73</f>
        <v>3.02366</v>
      </c>
      <c r="L89" s="19"/>
      <c r="M89" s="24"/>
      <c r="P89" s="25">
        <v>600</v>
      </c>
    </row>
    <row r="90" spans="3:16" s="17" customFormat="1" ht="12.75" x14ac:dyDescent="0.2">
      <c r="C90" s="18"/>
      <c r="D90" s="20" t="s">
        <v>174</v>
      </c>
      <c r="E90" s="21" t="s">
        <v>175</v>
      </c>
      <c r="F90" s="22" t="s">
        <v>176</v>
      </c>
      <c r="G90" s="23">
        <f t="shared" si="0"/>
        <v>0</v>
      </c>
      <c r="H90" s="27"/>
      <c r="I90" s="27"/>
      <c r="J90" s="27"/>
      <c r="K90" s="27"/>
      <c r="L90" s="19"/>
      <c r="M90" s="24"/>
      <c r="P90" s="25">
        <v>610</v>
      </c>
    </row>
    <row r="91" spans="3:16" s="17" customFormat="1" ht="12.75" x14ac:dyDescent="0.2">
      <c r="C91" s="18"/>
      <c r="D91" s="20" t="s">
        <v>177</v>
      </c>
      <c r="E91" s="21" t="s">
        <v>178</v>
      </c>
      <c r="F91" s="22" t="s">
        <v>179</v>
      </c>
      <c r="G91" s="23">
        <f t="shared" si="0"/>
        <v>0</v>
      </c>
      <c r="H91" s="27"/>
      <c r="I91" s="27"/>
      <c r="J91" s="27"/>
      <c r="K91" s="27"/>
      <c r="L91" s="19"/>
      <c r="M91" s="24"/>
      <c r="P91" s="25">
        <v>620</v>
      </c>
    </row>
    <row r="92" spans="3:16" s="17" customFormat="1" ht="12.75" x14ac:dyDescent="0.2">
      <c r="C92" s="18"/>
      <c r="D92" s="87" t="s">
        <v>180</v>
      </c>
      <c r="E92" s="88"/>
      <c r="F92" s="88"/>
      <c r="G92" s="88"/>
      <c r="H92" s="88"/>
      <c r="I92" s="88"/>
      <c r="J92" s="88"/>
      <c r="K92" s="89"/>
      <c r="L92" s="19"/>
      <c r="M92" s="24"/>
      <c r="P92" s="36"/>
    </row>
    <row r="93" spans="3:16" s="17" customFormat="1" ht="12.75" x14ac:dyDescent="0.2">
      <c r="C93" s="18"/>
      <c r="D93" s="20" t="s">
        <v>181</v>
      </c>
      <c r="E93" s="21" t="s">
        <v>182</v>
      </c>
      <c r="F93" s="22" t="s">
        <v>183</v>
      </c>
      <c r="G93" s="23">
        <f t="shared" si="0"/>
        <v>0</v>
      </c>
      <c r="H93" s="23">
        <f>SUM(H94:H95)</f>
        <v>0</v>
      </c>
      <c r="I93" s="23">
        <f>SUM(I94:I95)</f>
        <v>0</v>
      </c>
      <c r="J93" s="23">
        <f>SUM(J94:J95)</f>
        <v>0</v>
      </c>
      <c r="K93" s="23">
        <f>SUM(K94:K95)</f>
        <v>0</v>
      </c>
      <c r="L93" s="19"/>
      <c r="M93" s="24"/>
      <c r="P93" s="25">
        <v>700</v>
      </c>
    </row>
    <row r="94" spans="3:16" ht="12.75" x14ac:dyDescent="0.2">
      <c r="C94" s="6"/>
      <c r="D94" s="55" t="s">
        <v>184</v>
      </c>
      <c r="E94" s="26" t="s">
        <v>185</v>
      </c>
      <c r="F94" s="22" t="s">
        <v>186</v>
      </c>
      <c r="G94" s="23">
        <f t="shared" si="0"/>
        <v>0</v>
      </c>
      <c r="H94" s="56"/>
      <c r="I94" s="56"/>
      <c r="J94" s="56"/>
      <c r="K94" s="56"/>
      <c r="L94" s="13"/>
      <c r="M94" s="24"/>
      <c r="P94" s="25">
        <v>710</v>
      </c>
    </row>
    <row r="95" spans="3:16" ht="12.75" x14ac:dyDescent="0.2">
      <c r="C95" s="6"/>
      <c r="D95" s="55" t="s">
        <v>187</v>
      </c>
      <c r="E95" s="26" t="s">
        <v>188</v>
      </c>
      <c r="F95" s="22" t="s">
        <v>189</v>
      </c>
      <c r="G95" s="23">
        <f t="shared" si="0"/>
        <v>0</v>
      </c>
      <c r="H95" s="57">
        <f>H98</f>
        <v>0</v>
      </c>
      <c r="I95" s="57">
        <f>I98</f>
        <v>0</v>
      </c>
      <c r="J95" s="57">
        <f>J98</f>
        <v>0</v>
      </c>
      <c r="K95" s="57">
        <f>K98</f>
        <v>0</v>
      </c>
      <c r="L95" s="13"/>
      <c r="M95" s="24"/>
      <c r="P95" s="25">
        <v>720</v>
      </c>
    </row>
    <row r="96" spans="3:16" ht="12.75" x14ac:dyDescent="0.2">
      <c r="C96" s="6"/>
      <c r="D96" s="55" t="s">
        <v>190</v>
      </c>
      <c r="E96" s="48" t="s">
        <v>191</v>
      </c>
      <c r="F96" s="22" t="s">
        <v>192</v>
      </c>
      <c r="G96" s="23">
        <f t="shared" si="0"/>
        <v>0</v>
      </c>
      <c r="H96" s="56"/>
      <c r="I96" s="56"/>
      <c r="J96" s="56"/>
      <c r="K96" s="56"/>
      <c r="L96" s="13"/>
      <c r="M96" s="24"/>
      <c r="P96" s="25">
        <v>730</v>
      </c>
    </row>
    <row r="97" spans="3:16" ht="12.75" x14ac:dyDescent="0.2">
      <c r="C97" s="6"/>
      <c r="D97" s="55" t="s">
        <v>193</v>
      </c>
      <c r="E97" s="49" t="s">
        <v>194</v>
      </c>
      <c r="F97" s="22" t="s">
        <v>195</v>
      </c>
      <c r="G97" s="23">
        <f t="shared" si="0"/>
        <v>0</v>
      </c>
      <c r="H97" s="56"/>
      <c r="I97" s="56"/>
      <c r="J97" s="56"/>
      <c r="K97" s="56"/>
      <c r="L97" s="13"/>
      <c r="M97" s="24"/>
      <c r="P97" s="25"/>
    </row>
    <row r="98" spans="3:16" ht="12.75" x14ac:dyDescent="0.2">
      <c r="C98" s="6"/>
      <c r="D98" s="55" t="s">
        <v>196</v>
      </c>
      <c r="E98" s="48" t="s">
        <v>197</v>
      </c>
      <c r="F98" s="22" t="s">
        <v>198</v>
      </c>
      <c r="G98" s="23">
        <f t="shared" si="0"/>
        <v>0</v>
      </c>
      <c r="H98" s="56"/>
      <c r="I98" s="56"/>
      <c r="J98" s="56"/>
      <c r="K98" s="56"/>
      <c r="L98" s="13"/>
      <c r="M98" s="24"/>
      <c r="P98" s="25">
        <v>740</v>
      </c>
    </row>
    <row r="99" spans="3:16" ht="12.75" x14ac:dyDescent="0.2">
      <c r="C99" s="6"/>
      <c r="D99" s="55" t="s">
        <v>199</v>
      </c>
      <c r="E99" s="21" t="s">
        <v>200</v>
      </c>
      <c r="F99" s="22" t="s">
        <v>201</v>
      </c>
      <c r="G99" s="23">
        <f t="shared" si="0"/>
        <v>0</v>
      </c>
      <c r="H99" s="57">
        <f>H100+H116</f>
        <v>0</v>
      </c>
      <c r="I99" s="57">
        <f>I100+I116</f>
        <v>0</v>
      </c>
      <c r="J99" s="57">
        <f>J100+J116</f>
        <v>0</v>
      </c>
      <c r="K99" s="57">
        <f>K100+K116</f>
        <v>0</v>
      </c>
      <c r="L99" s="13"/>
      <c r="M99" s="24"/>
      <c r="P99" s="25">
        <v>750</v>
      </c>
    </row>
    <row r="100" spans="3:16" ht="12.75" x14ac:dyDescent="0.2">
      <c r="C100" s="6"/>
      <c r="D100" s="55" t="s">
        <v>202</v>
      </c>
      <c r="E100" s="26" t="s">
        <v>203</v>
      </c>
      <c r="F100" s="22" t="s">
        <v>204</v>
      </c>
      <c r="G100" s="23">
        <f t="shared" si="0"/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57">
        <f>K101+K102</f>
        <v>0</v>
      </c>
      <c r="L100" s="13"/>
      <c r="M100" s="24"/>
      <c r="P100" s="25">
        <v>760</v>
      </c>
    </row>
    <row r="101" spans="3:16" ht="12.75" x14ac:dyDescent="0.2">
      <c r="C101" s="6"/>
      <c r="D101" s="55" t="s">
        <v>205</v>
      </c>
      <c r="E101" s="48" t="s">
        <v>206</v>
      </c>
      <c r="F101" s="22" t="s">
        <v>207</v>
      </c>
      <c r="G101" s="23">
        <f t="shared" si="0"/>
        <v>0</v>
      </c>
      <c r="H101" s="56"/>
      <c r="I101" s="56"/>
      <c r="J101" s="56"/>
      <c r="K101" s="56"/>
      <c r="L101" s="13"/>
      <c r="M101" s="24"/>
      <c r="P101" s="25"/>
    </row>
    <row r="102" spans="3:16" ht="12.75" x14ac:dyDescent="0.2">
      <c r="C102" s="6"/>
      <c r="D102" s="55" t="s">
        <v>208</v>
      </c>
      <c r="E102" s="48" t="s">
        <v>209</v>
      </c>
      <c r="F102" s="22" t="s">
        <v>210</v>
      </c>
      <c r="G102" s="23">
        <f t="shared" si="0"/>
        <v>0</v>
      </c>
      <c r="H102" s="57">
        <f>H103+H106+H109+H112+H113+H114+H115</f>
        <v>0</v>
      </c>
      <c r="I102" s="57">
        <f>I103+I106+I109+I112+I113+I114+I115</f>
        <v>0</v>
      </c>
      <c r="J102" s="57">
        <f>J103+J106+J109+J112+J113+J114+J115</f>
        <v>0</v>
      </c>
      <c r="K102" s="57">
        <f>K103+K106+K109+K112+K113+K114+K115</f>
        <v>0</v>
      </c>
      <c r="L102" s="13"/>
      <c r="M102" s="24"/>
      <c r="P102" s="25"/>
    </row>
    <row r="103" spans="3:16" ht="33.75" x14ac:dyDescent="0.2">
      <c r="C103" s="6"/>
      <c r="D103" s="55" t="s">
        <v>211</v>
      </c>
      <c r="E103" s="49" t="s">
        <v>212</v>
      </c>
      <c r="F103" s="22" t="s">
        <v>213</v>
      </c>
      <c r="G103" s="23">
        <f t="shared" si="0"/>
        <v>0</v>
      </c>
      <c r="H103" s="58">
        <f>H104+H105</f>
        <v>0</v>
      </c>
      <c r="I103" s="58">
        <f>I104+I105</f>
        <v>0</v>
      </c>
      <c r="J103" s="58">
        <f>J104+J105</f>
        <v>0</v>
      </c>
      <c r="K103" s="58">
        <f>K104+K105</f>
        <v>0</v>
      </c>
      <c r="L103" s="13"/>
      <c r="M103" s="24"/>
      <c r="P103" s="25"/>
    </row>
    <row r="104" spans="3:16" ht="12.75" x14ac:dyDescent="0.2">
      <c r="C104" s="6"/>
      <c r="D104" s="55" t="s">
        <v>214</v>
      </c>
      <c r="E104" s="59" t="s">
        <v>215</v>
      </c>
      <c r="F104" s="22" t="s">
        <v>216</v>
      </c>
      <c r="G104" s="23">
        <f t="shared" si="0"/>
        <v>0</v>
      </c>
      <c r="H104" s="56"/>
      <c r="I104" s="56"/>
      <c r="J104" s="56"/>
      <c r="K104" s="56"/>
      <c r="L104" s="13"/>
      <c r="M104" s="24"/>
      <c r="P104" s="25"/>
    </row>
    <row r="105" spans="3:16" ht="12.75" x14ac:dyDescent="0.2">
      <c r="C105" s="6"/>
      <c r="D105" s="55" t="s">
        <v>217</v>
      </c>
      <c r="E105" s="59" t="s">
        <v>218</v>
      </c>
      <c r="F105" s="22" t="s">
        <v>219</v>
      </c>
      <c r="G105" s="23">
        <f t="shared" si="0"/>
        <v>0</v>
      </c>
      <c r="H105" s="56"/>
      <c r="I105" s="56"/>
      <c r="J105" s="56"/>
      <c r="K105" s="56"/>
      <c r="L105" s="13"/>
      <c r="M105" s="24"/>
      <c r="P105" s="25"/>
    </row>
    <row r="106" spans="3:16" ht="33.75" x14ac:dyDescent="0.2">
      <c r="C106" s="6"/>
      <c r="D106" s="55" t="s">
        <v>220</v>
      </c>
      <c r="E106" s="49" t="s">
        <v>221</v>
      </c>
      <c r="F106" s="22" t="s">
        <v>222</v>
      </c>
      <c r="G106" s="23">
        <f t="shared" si="0"/>
        <v>0</v>
      </c>
      <c r="H106" s="58">
        <f>H107+H108</f>
        <v>0</v>
      </c>
      <c r="I106" s="58">
        <f>I107+I108</f>
        <v>0</v>
      </c>
      <c r="J106" s="58">
        <f>J107+J108</f>
        <v>0</v>
      </c>
      <c r="K106" s="58">
        <f>K107+K108</f>
        <v>0</v>
      </c>
      <c r="L106" s="13"/>
      <c r="M106" s="24"/>
      <c r="P106" s="25"/>
    </row>
    <row r="107" spans="3:16" ht="12.75" x14ac:dyDescent="0.2">
      <c r="C107" s="6"/>
      <c r="D107" s="55" t="s">
        <v>223</v>
      </c>
      <c r="E107" s="59" t="s">
        <v>215</v>
      </c>
      <c r="F107" s="22" t="s">
        <v>224</v>
      </c>
      <c r="G107" s="23">
        <f t="shared" si="0"/>
        <v>0</v>
      </c>
      <c r="H107" s="56"/>
      <c r="I107" s="56"/>
      <c r="J107" s="56"/>
      <c r="K107" s="56"/>
      <c r="L107" s="13"/>
      <c r="M107" s="24"/>
      <c r="P107" s="25"/>
    </row>
    <row r="108" spans="3:16" ht="12.75" x14ac:dyDescent="0.2">
      <c r="C108" s="6"/>
      <c r="D108" s="55" t="s">
        <v>225</v>
      </c>
      <c r="E108" s="59" t="s">
        <v>218</v>
      </c>
      <c r="F108" s="22" t="s">
        <v>226</v>
      </c>
      <c r="G108" s="23">
        <f t="shared" si="0"/>
        <v>0</v>
      </c>
      <c r="H108" s="56"/>
      <c r="I108" s="56"/>
      <c r="J108" s="56"/>
      <c r="K108" s="56"/>
      <c r="L108" s="13"/>
      <c r="M108" s="24"/>
      <c r="P108" s="25"/>
    </row>
    <row r="109" spans="3:16" ht="22.5" x14ac:dyDescent="0.2">
      <c r="C109" s="6"/>
      <c r="D109" s="55" t="s">
        <v>227</v>
      </c>
      <c r="E109" s="49" t="s">
        <v>228</v>
      </c>
      <c r="F109" s="22" t="s">
        <v>229</v>
      </c>
      <c r="G109" s="23">
        <f t="shared" si="0"/>
        <v>0</v>
      </c>
      <c r="H109" s="58">
        <f>H110+H111</f>
        <v>0</v>
      </c>
      <c r="I109" s="58">
        <f>I110+I111</f>
        <v>0</v>
      </c>
      <c r="J109" s="58">
        <f>J110+J111</f>
        <v>0</v>
      </c>
      <c r="K109" s="58">
        <f>K110+K111</f>
        <v>0</v>
      </c>
      <c r="L109" s="13"/>
      <c r="M109" s="24"/>
      <c r="P109" s="25"/>
    </row>
    <row r="110" spans="3:16" ht="12.75" x14ac:dyDescent="0.2">
      <c r="C110" s="6"/>
      <c r="D110" s="55" t="s">
        <v>230</v>
      </c>
      <c r="E110" s="59" t="s">
        <v>215</v>
      </c>
      <c r="F110" s="22" t="s">
        <v>231</v>
      </c>
      <c r="G110" s="23">
        <f t="shared" si="0"/>
        <v>0</v>
      </c>
      <c r="H110" s="56"/>
      <c r="I110" s="56"/>
      <c r="J110" s="56"/>
      <c r="K110" s="56"/>
      <c r="L110" s="13"/>
      <c r="M110" s="24"/>
      <c r="P110" s="25"/>
    </row>
    <row r="111" spans="3:16" ht="12.75" x14ac:dyDescent="0.2">
      <c r="C111" s="6"/>
      <c r="D111" s="55" t="s">
        <v>232</v>
      </c>
      <c r="E111" s="59" t="s">
        <v>218</v>
      </c>
      <c r="F111" s="22" t="s">
        <v>233</v>
      </c>
      <c r="G111" s="23">
        <f t="shared" si="0"/>
        <v>0</v>
      </c>
      <c r="H111" s="56"/>
      <c r="I111" s="56"/>
      <c r="J111" s="56"/>
      <c r="K111" s="56"/>
      <c r="L111" s="13"/>
      <c r="M111" s="24"/>
      <c r="P111" s="25"/>
    </row>
    <row r="112" spans="3:16" ht="12.75" x14ac:dyDescent="0.2">
      <c r="C112" s="6"/>
      <c r="D112" s="55" t="s">
        <v>234</v>
      </c>
      <c r="E112" s="49" t="s">
        <v>235</v>
      </c>
      <c r="F112" s="22" t="s">
        <v>236</v>
      </c>
      <c r="G112" s="23">
        <f t="shared" si="0"/>
        <v>0</v>
      </c>
      <c r="H112" s="56"/>
      <c r="I112" s="56"/>
      <c r="J112" s="56"/>
      <c r="K112" s="56"/>
      <c r="L112" s="13"/>
      <c r="M112" s="24"/>
      <c r="P112" s="25"/>
    </row>
    <row r="113" spans="3:16" ht="12.75" x14ac:dyDescent="0.2">
      <c r="C113" s="6"/>
      <c r="D113" s="55" t="s">
        <v>237</v>
      </c>
      <c r="E113" s="49" t="s">
        <v>238</v>
      </c>
      <c r="F113" s="22" t="s">
        <v>239</v>
      </c>
      <c r="G113" s="23">
        <f t="shared" si="0"/>
        <v>0</v>
      </c>
      <c r="H113" s="56"/>
      <c r="I113" s="56"/>
      <c r="J113" s="56"/>
      <c r="K113" s="56"/>
      <c r="L113" s="13"/>
      <c r="M113" s="24"/>
      <c r="P113" s="25"/>
    </row>
    <row r="114" spans="3:16" ht="33.75" x14ac:dyDescent="0.2">
      <c r="C114" s="6"/>
      <c r="D114" s="55" t="s">
        <v>240</v>
      </c>
      <c r="E114" s="49" t="s">
        <v>241</v>
      </c>
      <c r="F114" s="22" t="s">
        <v>242</v>
      </c>
      <c r="G114" s="23">
        <f t="shared" si="0"/>
        <v>0</v>
      </c>
      <c r="H114" s="56"/>
      <c r="I114" s="56"/>
      <c r="J114" s="56"/>
      <c r="K114" s="56"/>
      <c r="L114" s="13"/>
      <c r="M114" s="24"/>
      <c r="P114" s="25"/>
    </row>
    <row r="115" spans="3:16" ht="22.5" x14ac:dyDescent="0.2">
      <c r="C115" s="6"/>
      <c r="D115" s="55" t="s">
        <v>243</v>
      </c>
      <c r="E115" s="49" t="s">
        <v>244</v>
      </c>
      <c r="F115" s="22" t="s">
        <v>245</v>
      </c>
      <c r="G115" s="23">
        <f t="shared" si="0"/>
        <v>0</v>
      </c>
      <c r="H115" s="56"/>
      <c r="I115" s="56"/>
      <c r="J115" s="56"/>
      <c r="K115" s="56"/>
      <c r="L115" s="13"/>
      <c r="M115" s="24"/>
      <c r="P115" s="25"/>
    </row>
    <row r="116" spans="3:16" ht="12.75" x14ac:dyDescent="0.2">
      <c r="C116" s="6"/>
      <c r="D116" s="55" t="s">
        <v>246</v>
      </c>
      <c r="E116" s="26" t="s">
        <v>247</v>
      </c>
      <c r="F116" s="22" t="s">
        <v>248</v>
      </c>
      <c r="G116" s="23">
        <f t="shared" si="0"/>
        <v>0</v>
      </c>
      <c r="H116" s="57">
        <f>H119</f>
        <v>0</v>
      </c>
      <c r="I116" s="57">
        <f>I119</f>
        <v>0</v>
      </c>
      <c r="J116" s="57">
        <f>J119</f>
        <v>0</v>
      </c>
      <c r="K116" s="57">
        <f>K119</f>
        <v>0</v>
      </c>
      <c r="L116" s="13"/>
      <c r="M116" s="24"/>
      <c r="P116" s="25">
        <v>770</v>
      </c>
    </row>
    <row r="117" spans="3:16" ht="12.75" x14ac:dyDescent="0.2">
      <c r="C117" s="6"/>
      <c r="D117" s="55" t="s">
        <v>249</v>
      </c>
      <c r="E117" s="48" t="s">
        <v>191</v>
      </c>
      <c r="F117" s="22" t="s">
        <v>250</v>
      </c>
      <c r="G117" s="23">
        <f t="shared" si="0"/>
        <v>0</v>
      </c>
      <c r="H117" s="56"/>
      <c r="I117" s="56"/>
      <c r="J117" s="56"/>
      <c r="K117" s="56"/>
      <c r="L117" s="13"/>
      <c r="M117" s="24"/>
      <c r="P117" s="25">
        <v>780</v>
      </c>
    </row>
    <row r="118" spans="3:16" ht="12.75" x14ac:dyDescent="0.2">
      <c r="C118" s="6"/>
      <c r="D118" s="55" t="s">
        <v>251</v>
      </c>
      <c r="E118" s="49" t="s">
        <v>252</v>
      </c>
      <c r="F118" s="22" t="s">
        <v>253</v>
      </c>
      <c r="G118" s="23">
        <f t="shared" si="0"/>
        <v>0</v>
      </c>
      <c r="H118" s="56"/>
      <c r="I118" s="56"/>
      <c r="J118" s="56"/>
      <c r="K118" s="56"/>
      <c r="L118" s="13"/>
      <c r="M118" s="24"/>
      <c r="P118" s="25"/>
    </row>
    <row r="119" spans="3:16" ht="12.75" x14ac:dyDescent="0.2">
      <c r="C119" s="6"/>
      <c r="D119" s="55" t="s">
        <v>254</v>
      </c>
      <c r="E119" s="48" t="s">
        <v>197</v>
      </c>
      <c r="F119" s="22" t="s">
        <v>255</v>
      </c>
      <c r="G119" s="23">
        <f t="shared" si="0"/>
        <v>0</v>
      </c>
      <c r="H119" s="56"/>
      <c r="I119" s="56"/>
      <c r="J119" s="56"/>
      <c r="K119" s="56"/>
      <c r="L119" s="13"/>
      <c r="M119" s="24"/>
      <c r="P119" s="25">
        <v>790</v>
      </c>
    </row>
    <row r="120" spans="3:16" ht="12.75" x14ac:dyDescent="0.2">
      <c r="C120" s="6"/>
      <c r="D120" s="55" t="s">
        <v>256</v>
      </c>
      <c r="E120" s="46" t="s">
        <v>257</v>
      </c>
      <c r="F120" s="22" t="s">
        <v>258</v>
      </c>
      <c r="G120" s="23">
        <f t="shared" si="0"/>
        <v>1582.4780000000001</v>
      </c>
      <c r="H120" s="57">
        <f>SUM(H121:H122)</f>
        <v>0</v>
      </c>
      <c r="I120" s="57">
        <f>SUM(I121:I122)</f>
        <v>0</v>
      </c>
      <c r="J120" s="57">
        <f>SUM(J121:J122)</f>
        <v>168.595</v>
      </c>
      <c r="K120" s="57">
        <f>SUM(K121:K122)</f>
        <v>1413.883</v>
      </c>
      <c r="L120" s="13"/>
      <c r="M120" s="24"/>
      <c r="P120" s="25"/>
    </row>
    <row r="121" spans="3:16" ht="12.75" x14ac:dyDescent="0.2">
      <c r="C121" s="6"/>
      <c r="D121" s="55" t="s">
        <v>259</v>
      </c>
      <c r="E121" s="26" t="s">
        <v>185</v>
      </c>
      <c r="F121" s="22" t="s">
        <v>260</v>
      </c>
      <c r="G121" s="23">
        <f t="shared" si="0"/>
        <v>1582.4780000000001</v>
      </c>
      <c r="H121" s="56"/>
      <c r="I121" s="56"/>
      <c r="J121" s="56">
        <f>J36</f>
        <v>168.595</v>
      </c>
      <c r="K121" s="56">
        <f>K36</f>
        <v>1413.883</v>
      </c>
      <c r="L121" s="13"/>
      <c r="M121" s="24"/>
      <c r="P121" s="25"/>
    </row>
    <row r="122" spans="3:16" ht="12.75" x14ac:dyDescent="0.2">
      <c r="C122" s="6"/>
      <c r="D122" s="55" t="s">
        <v>261</v>
      </c>
      <c r="E122" s="26" t="s">
        <v>188</v>
      </c>
      <c r="F122" s="22" t="s">
        <v>262</v>
      </c>
      <c r="G122" s="23">
        <f t="shared" si="0"/>
        <v>0</v>
      </c>
      <c r="H122" s="57">
        <f>H124</f>
        <v>0</v>
      </c>
      <c r="I122" s="57">
        <f>I124</f>
        <v>0</v>
      </c>
      <c r="J122" s="57">
        <f>J124</f>
        <v>0</v>
      </c>
      <c r="K122" s="57">
        <f>K124</f>
        <v>0</v>
      </c>
      <c r="L122" s="13"/>
      <c r="M122" s="24"/>
      <c r="P122" s="25"/>
    </row>
    <row r="123" spans="3:16" ht="12.75" x14ac:dyDescent="0.2">
      <c r="C123" s="6"/>
      <c r="D123" s="55" t="s">
        <v>263</v>
      </c>
      <c r="E123" s="48" t="s">
        <v>264</v>
      </c>
      <c r="F123" s="22" t="s">
        <v>265</v>
      </c>
      <c r="G123" s="23">
        <f t="shared" si="0"/>
        <v>0</v>
      </c>
      <c r="H123" s="56"/>
      <c r="I123" s="56"/>
      <c r="J123" s="56"/>
      <c r="K123" s="56"/>
      <c r="L123" s="13"/>
      <c r="M123" s="24"/>
      <c r="P123" s="25"/>
    </row>
    <row r="124" spans="3:16" ht="12.75" x14ac:dyDescent="0.2">
      <c r="C124" s="6"/>
      <c r="D124" s="55" t="s">
        <v>266</v>
      </c>
      <c r="E124" s="48" t="s">
        <v>197</v>
      </c>
      <c r="F124" s="22" t="s">
        <v>267</v>
      </c>
      <c r="G124" s="23">
        <f t="shared" si="0"/>
        <v>0</v>
      </c>
      <c r="H124" s="56"/>
      <c r="I124" s="56"/>
      <c r="J124" s="56"/>
      <c r="K124" s="56"/>
      <c r="L124" s="13"/>
      <c r="M124" s="24"/>
      <c r="P124" s="25"/>
    </row>
    <row r="125" spans="3:16" ht="12.75" x14ac:dyDescent="0.2">
      <c r="C125" s="6"/>
      <c r="D125" s="87" t="s">
        <v>268</v>
      </c>
      <c r="E125" s="88"/>
      <c r="F125" s="88"/>
      <c r="G125" s="88"/>
      <c r="H125" s="88"/>
      <c r="I125" s="88"/>
      <c r="J125" s="88"/>
      <c r="K125" s="89"/>
      <c r="L125" s="13"/>
      <c r="M125" s="24"/>
      <c r="P125" s="60"/>
    </row>
    <row r="126" spans="3:16" ht="22.5" x14ac:dyDescent="0.2">
      <c r="C126" s="6"/>
      <c r="D126" s="55" t="s">
        <v>269</v>
      </c>
      <c r="E126" s="21" t="s">
        <v>270</v>
      </c>
      <c r="F126" s="22" t="s">
        <v>271</v>
      </c>
      <c r="G126" s="23">
        <f t="shared" si="0"/>
        <v>0</v>
      </c>
      <c r="H126" s="57">
        <f>SUM( H127:H128)</f>
        <v>0</v>
      </c>
      <c r="I126" s="57">
        <f>SUM( I127:I128)</f>
        <v>0</v>
      </c>
      <c r="J126" s="57">
        <f>SUM( J127:J128)</f>
        <v>0</v>
      </c>
      <c r="K126" s="57">
        <f>SUM( K127:K128)</f>
        <v>0</v>
      </c>
      <c r="L126" s="13"/>
      <c r="M126" s="24"/>
      <c r="P126" s="25">
        <v>800</v>
      </c>
    </row>
    <row r="127" spans="3:16" ht="12.75" x14ac:dyDescent="0.2">
      <c r="C127" s="6"/>
      <c r="D127" s="55" t="s">
        <v>272</v>
      </c>
      <c r="E127" s="26" t="s">
        <v>185</v>
      </c>
      <c r="F127" s="22" t="s">
        <v>273</v>
      </c>
      <c r="G127" s="23">
        <f t="shared" si="0"/>
        <v>0</v>
      </c>
      <c r="H127" s="56"/>
      <c r="I127" s="56"/>
      <c r="J127" s="56"/>
      <c r="K127" s="56"/>
      <c r="L127" s="13"/>
      <c r="M127" s="24"/>
      <c r="P127" s="25">
        <v>810</v>
      </c>
    </row>
    <row r="128" spans="3:16" ht="12.75" x14ac:dyDescent="0.2">
      <c r="C128" s="6"/>
      <c r="D128" s="55" t="s">
        <v>274</v>
      </c>
      <c r="E128" s="26" t="s">
        <v>188</v>
      </c>
      <c r="F128" s="22" t="s">
        <v>275</v>
      </c>
      <c r="G128" s="23">
        <f t="shared" si="0"/>
        <v>0</v>
      </c>
      <c r="H128" s="57">
        <f>H129+H131</f>
        <v>0</v>
      </c>
      <c r="I128" s="57">
        <f>I129+I131</f>
        <v>0</v>
      </c>
      <c r="J128" s="57">
        <f>J129+J131</f>
        <v>0</v>
      </c>
      <c r="K128" s="57">
        <f>K129+K131</f>
        <v>0</v>
      </c>
      <c r="L128" s="13"/>
      <c r="M128" s="24"/>
      <c r="P128" s="25">
        <v>820</v>
      </c>
    </row>
    <row r="129" spans="3:16" ht="12.75" x14ac:dyDescent="0.2">
      <c r="C129" s="6"/>
      <c r="D129" s="55" t="s">
        <v>276</v>
      </c>
      <c r="E129" s="48" t="s">
        <v>277</v>
      </c>
      <c r="F129" s="22" t="s">
        <v>278</v>
      </c>
      <c r="G129" s="23">
        <f t="shared" si="0"/>
        <v>0</v>
      </c>
      <c r="H129" s="56"/>
      <c r="I129" s="56"/>
      <c r="J129" s="56"/>
      <c r="K129" s="56"/>
      <c r="L129" s="13"/>
      <c r="M129" s="24"/>
      <c r="P129" s="25">
        <v>830</v>
      </c>
    </row>
    <row r="130" spans="3:16" ht="12.75" x14ac:dyDescent="0.2">
      <c r="C130" s="6"/>
      <c r="D130" s="55" t="s">
        <v>279</v>
      </c>
      <c r="E130" s="49" t="s">
        <v>280</v>
      </c>
      <c r="F130" s="22" t="s">
        <v>281</v>
      </c>
      <c r="G130" s="23">
        <f t="shared" si="0"/>
        <v>0</v>
      </c>
      <c r="H130" s="56"/>
      <c r="I130" s="56"/>
      <c r="J130" s="56"/>
      <c r="K130" s="56"/>
      <c r="L130" s="13"/>
      <c r="M130" s="24"/>
      <c r="P130" s="60"/>
    </row>
    <row r="131" spans="3:16" ht="12.75" x14ac:dyDescent="0.2">
      <c r="C131" s="6"/>
      <c r="D131" s="55" t="s">
        <v>282</v>
      </c>
      <c r="E131" s="48" t="s">
        <v>283</v>
      </c>
      <c r="F131" s="22" t="s">
        <v>284</v>
      </c>
      <c r="G131" s="23">
        <f t="shared" si="0"/>
        <v>0</v>
      </c>
      <c r="H131" s="56"/>
      <c r="I131" s="56"/>
      <c r="J131" s="56"/>
      <c r="K131" s="56"/>
      <c r="L131" s="13"/>
      <c r="M131" s="24"/>
      <c r="P131" s="25">
        <v>840</v>
      </c>
    </row>
    <row r="132" spans="3:16" ht="12.75" x14ac:dyDescent="0.2">
      <c r="C132" s="6"/>
      <c r="D132" s="55" t="s">
        <v>30</v>
      </c>
      <c r="E132" s="21" t="s">
        <v>285</v>
      </c>
      <c r="F132" s="22" t="s">
        <v>286</v>
      </c>
      <c r="G132" s="23">
        <f t="shared" si="0"/>
        <v>0</v>
      </c>
      <c r="H132" s="58">
        <f>SUM( H133+H138)</f>
        <v>0</v>
      </c>
      <c r="I132" s="58">
        <f>SUM( I133+I138)</f>
        <v>0</v>
      </c>
      <c r="J132" s="58">
        <f>SUM( J133+J138)</f>
        <v>0</v>
      </c>
      <c r="K132" s="58">
        <f>SUM( K133+K138)</f>
        <v>0</v>
      </c>
      <c r="L132" s="61"/>
      <c r="M132" s="24"/>
      <c r="P132" s="25">
        <v>850</v>
      </c>
    </row>
    <row r="133" spans="3:16" ht="12.75" x14ac:dyDescent="0.2">
      <c r="C133" s="6"/>
      <c r="D133" s="55" t="s">
        <v>287</v>
      </c>
      <c r="E133" s="26" t="s">
        <v>185</v>
      </c>
      <c r="F133" s="22" t="s">
        <v>288</v>
      </c>
      <c r="G133" s="23">
        <f t="shared" ref="G133:G146" si="1">SUM(H133:K133)</f>
        <v>0</v>
      </c>
      <c r="H133" s="58">
        <f>SUM( H134:H135)</f>
        <v>0</v>
      </c>
      <c r="I133" s="58">
        <f>SUM( I134:I135)</f>
        <v>0</v>
      </c>
      <c r="J133" s="58">
        <f>SUM( J134:J135)</f>
        <v>0</v>
      </c>
      <c r="K133" s="58">
        <f>SUM( K134:K135)</f>
        <v>0</v>
      </c>
      <c r="L133" s="61"/>
      <c r="M133" s="24"/>
      <c r="P133" s="25">
        <v>860</v>
      </c>
    </row>
    <row r="134" spans="3:16" ht="12.75" x14ac:dyDescent="0.2">
      <c r="C134" s="6"/>
      <c r="D134" s="55" t="s">
        <v>289</v>
      </c>
      <c r="E134" s="48" t="s">
        <v>206</v>
      </c>
      <c r="F134" s="22" t="s">
        <v>290</v>
      </c>
      <c r="G134" s="23">
        <f t="shared" si="1"/>
        <v>0</v>
      </c>
      <c r="H134" s="62"/>
      <c r="I134" s="62"/>
      <c r="J134" s="62"/>
      <c r="K134" s="62"/>
      <c r="L134" s="61"/>
      <c r="M134" s="24"/>
      <c r="P134" s="25"/>
    </row>
    <row r="135" spans="3:16" ht="12.75" x14ac:dyDescent="0.2">
      <c r="C135" s="6"/>
      <c r="D135" s="55" t="s">
        <v>291</v>
      </c>
      <c r="E135" s="48" t="s">
        <v>209</v>
      </c>
      <c r="F135" s="22" t="s">
        <v>292</v>
      </c>
      <c r="G135" s="23">
        <f t="shared" si="1"/>
        <v>0</v>
      </c>
      <c r="H135" s="58">
        <f>H136+H137</f>
        <v>0</v>
      </c>
      <c r="I135" s="58">
        <f>I136+I137</f>
        <v>0</v>
      </c>
      <c r="J135" s="58">
        <f>J136+J137</f>
        <v>0</v>
      </c>
      <c r="K135" s="58">
        <f>K136+K137</f>
        <v>0</v>
      </c>
      <c r="L135" s="61"/>
      <c r="M135" s="24"/>
      <c r="P135" s="25"/>
    </row>
    <row r="136" spans="3:16" ht="12.75" x14ac:dyDescent="0.2">
      <c r="C136" s="6"/>
      <c r="D136" s="55" t="s">
        <v>293</v>
      </c>
      <c r="E136" s="49" t="s">
        <v>215</v>
      </c>
      <c r="F136" s="22" t="s">
        <v>294</v>
      </c>
      <c r="G136" s="23">
        <f t="shared" si="1"/>
        <v>0</v>
      </c>
      <c r="H136" s="62"/>
      <c r="I136" s="62"/>
      <c r="J136" s="62"/>
      <c r="K136" s="62"/>
      <c r="L136" s="61"/>
      <c r="M136" s="24"/>
      <c r="P136" s="25"/>
    </row>
    <row r="137" spans="3:16" ht="12.75" x14ac:dyDescent="0.2">
      <c r="C137" s="6"/>
      <c r="D137" s="55" t="s">
        <v>295</v>
      </c>
      <c r="E137" s="49" t="s">
        <v>296</v>
      </c>
      <c r="F137" s="22" t="s">
        <v>297</v>
      </c>
      <c r="G137" s="23">
        <f t="shared" si="1"/>
        <v>0</v>
      </c>
      <c r="H137" s="62"/>
      <c r="I137" s="62"/>
      <c r="J137" s="62"/>
      <c r="K137" s="62"/>
      <c r="L137" s="61"/>
      <c r="M137" s="24"/>
      <c r="P137" s="25"/>
    </row>
    <row r="138" spans="3:16" ht="12.75" x14ac:dyDescent="0.2">
      <c r="C138" s="6"/>
      <c r="D138" s="55" t="s">
        <v>298</v>
      </c>
      <c r="E138" s="26" t="s">
        <v>247</v>
      </c>
      <c r="F138" s="22" t="s">
        <v>299</v>
      </c>
      <c r="G138" s="23">
        <f t="shared" si="1"/>
        <v>0</v>
      </c>
      <c r="H138" s="58">
        <f>H139+H141</f>
        <v>0</v>
      </c>
      <c r="I138" s="58">
        <f>I139+I141</f>
        <v>0</v>
      </c>
      <c r="J138" s="58">
        <f>J139+J141</f>
        <v>0</v>
      </c>
      <c r="K138" s="58">
        <f>K139+K141</f>
        <v>0</v>
      </c>
      <c r="L138" s="61"/>
      <c r="M138" s="24"/>
      <c r="P138" s="25">
        <v>870</v>
      </c>
    </row>
    <row r="139" spans="3:16" ht="12.75" x14ac:dyDescent="0.2">
      <c r="C139" s="6"/>
      <c r="D139" s="55" t="s">
        <v>300</v>
      </c>
      <c r="E139" s="48" t="s">
        <v>277</v>
      </c>
      <c r="F139" s="22" t="s">
        <v>301</v>
      </c>
      <c r="G139" s="23">
        <f t="shared" si="1"/>
        <v>0</v>
      </c>
      <c r="H139" s="56"/>
      <c r="I139" s="56"/>
      <c r="J139" s="56"/>
      <c r="K139" s="56"/>
      <c r="L139" s="61"/>
      <c r="M139" s="24"/>
      <c r="P139" s="25">
        <v>880</v>
      </c>
    </row>
    <row r="140" spans="3:16" ht="12.75" x14ac:dyDescent="0.2">
      <c r="C140" s="6"/>
      <c r="D140" s="55" t="s">
        <v>302</v>
      </c>
      <c r="E140" s="49" t="s">
        <v>280</v>
      </c>
      <c r="F140" s="22" t="s">
        <v>303</v>
      </c>
      <c r="G140" s="23">
        <f t="shared" si="1"/>
        <v>0</v>
      </c>
      <c r="H140" s="56"/>
      <c r="I140" s="56"/>
      <c r="J140" s="56"/>
      <c r="K140" s="56"/>
      <c r="L140" s="61"/>
      <c r="M140" s="24"/>
      <c r="P140" s="25"/>
    </row>
    <row r="141" spans="3:16" ht="12.75" x14ac:dyDescent="0.2">
      <c r="C141" s="6"/>
      <c r="D141" s="55" t="s">
        <v>304</v>
      </c>
      <c r="E141" s="48" t="s">
        <v>283</v>
      </c>
      <c r="F141" s="22" t="s">
        <v>305</v>
      </c>
      <c r="G141" s="23">
        <f t="shared" si="1"/>
        <v>0</v>
      </c>
      <c r="H141" s="63"/>
      <c r="I141" s="63"/>
      <c r="J141" s="63"/>
      <c r="K141" s="63"/>
      <c r="L141" s="61"/>
      <c r="M141" s="24"/>
      <c r="P141" s="25">
        <v>890</v>
      </c>
    </row>
    <row r="142" spans="3:16" ht="12.75" x14ac:dyDescent="0.2">
      <c r="C142" s="6"/>
      <c r="D142" s="55" t="s">
        <v>306</v>
      </c>
      <c r="E142" s="21" t="s">
        <v>307</v>
      </c>
      <c r="F142" s="22" t="s">
        <v>308</v>
      </c>
      <c r="G142" s="23">
        <f t="shared" si="1"/>
        <v>2319.9127479999997</v>
      </c>
      <c r="H142" s="64">
        <f>SUM( H143:H144)</f>
        <v>0</v>
      </c>
      <c r="I142" s="64">
        <f>SUM( I143:I144)</f>
        <v>0</v>
      </c>
      <c r="J142" s="64">
        <f>SUM( J143:J144)</f>
        <v>247.16027</v>
      </c>
      <c r="K142" s="64">
        <f>SUM( K143:K144)</f>
        <v>2072.7524779999999</v>
      </c>
      <c r="L142" s="61"/>
      <c r="M142" s="24"/>
      <c r="P142" s="25">
        <v>900</v>
      </c>
    </row>
    <row r="143" spans="3:16" ht="12.75" x14ac:dyDescent="0.2">
      <c r="C143" s="6"/>
      <c r="D143" s="55" t="s">
        <v>309</v>
      </c>
      <c r="E143" s="26" t="s">
        <v>185</v>
      </c>
      <c r="F143" s="22" t="s">
        <v>310</v>
      </c>
      <c r="G143" s="23">
        <f t="shared" si="1"/>
        <v>2319.9127479999997</v>
      </c>
      <c r="H143" s="63"/>
      <c r="I143" s="63"/>
      <c r="J143" s="65">
        <f>J121*1.466</f>
        <v>247.16027</v>
      </c>
      <c r="K143" s="65">
        <f>K121*1.466</f>
        <v>2072.7524779999999</v>
      </c>
      <c r="L143" s="61"/>
      <c r="M143" s="24"/>
      <c r="P143" s="25"/>
    </row>
    <row r="144" spans="3:16" ht="12.75" x14ac:dyDescent="0.2">
      <c r="C144" s="6"/>
      <c r="D144" s="55" t="s">
        <v>311</v>
      </c>
      <c r="E144" s="26" t="s">
        <v>188</v>
      </c>
      <c r="F144" s="22" t="s">
        <v>312</v>
      </c>
      <c r="G144" s="23">
        <f t="shared" si="1"/>
        <v>0</v>
      </c>
      <c r="H144" s="64">
        <f>H145+H146</f>
        <v>0</v>
      </c>
      <c r="I144" s="64">
        <f>I145+I146</f>
        <v>0</v>
      </c>
      <c r="J144" s="64">
        <f>J145+J146</f>
        <v>0</v>
      </c>
      <c r="K144" s="64">
        <f>K145+K146</f>
        <v>0</v>
      </c>
      <c r="L144" s="61"/>
      <c r="M144" s="24"/>
      <c r="P144" s="25"/>
    </row>
    <row r="145" spans="3:19" ht="12.75" x14ac:dyDescent="0.2">
      <c r="C145" s="6"/>
      <c r="D145" s="55" t="s">
        <v>313</v>
      </c>
      <c r="E145" s="48" t="s">
        <v>314</v>
      </c>
      <c r="F145" s="22" t="s">
        <v>315</v>
      </c>
      <c r="G145" s="23">
        <f t="shared" si="1"/>
        <v>0</v>
      </c>
      <c r="H145" s="63"/>
      <c r="I145" s="63"/>
      <c r="J145" s="63"/>
      <c r="K145" s="63"/>
      <c r="L145" s="61"/>
      <c r="M145" s="24"/>
      <c r="P145" s="25" t="s">
        <v>316</v>
      </c>
    </row>
    <row r="146" spans="3:19" ht="12.75" x14ac:dyDescent="0.2">
      <c r="C146" s="6"/>
      <c r="D146" s="55" t="s">
        <v>317</v>
      </c>
      <c r="E146" s="48" t="s">
        <v>283</v>
      </c>
      <c r="F146" s="22" t="s">
        <v>318</v>
      </c>
      <c r="G146" s="23">
        <f t="shared" si="1"/>
        <v>0</v>
      </c>
      <c r="H146" s="63"/>
      <c r="I146" s="63"/>
      <c r="J146" s="63"/>
      <c r="K146" s="66"/>
      <c r="L146" s="61"/>
      <c r="M146" s="24"/>
      <c r="P146" s="25" t="s">
        <v>319</v>
      </c>
    </row>
    <row r="147" spans="3:19" x14ac:dyDescent="0.25">
      <c r="D147" s="11"/>
      <c r="E147" s="67"/>
      <c r="F147" s="67"/>
      <c r="G147" s="67"/>
      <c r="H147" s="67"/>
      <c r="I147" s="67"/>
      <c r="J147" s="67"/>
      <c r="K147" s="68"/>
      <c r="L147" s="68"/>
      <c r="M147" s="68"/>
      <c r="N147" s="68"/>
      <c r="O147" s="68"/>
      <c r="P147" s="68"/>
      <c r="Q147" s="68"/>
      <c r="R147" s="69"/>
      <c r="S147" s="69"/>
    </row>
    <row r="148" spans="3:19" ht="12.75" x14ac:dyDescent="0.2">
      <c r="E148" s="24" t="s">
        <v>320</v>
      </c>
      <c r="F148" s="79" t="str">
        <f>IF([7]Титульный!G45="","",[7]Титульный!G45)</f>
        <v>Коммерческий директор</v>
      </c>
      <c r="G148" s="79"/>
      <c r="H148" s="70"/>
      <c r="I148" s="79" t="str">
        <f>IF([7]Титульный!G44="","",[7]Титульный!G44)</f>
        <v>Байков Алексей Александрович</v>
      </c>
      <c r="J148" s="79"/>
      <c r="K148" s="79"/>
      <c r="L148" s="70"/>
      <c r="M148" s="71"/>
      <c r="N148" s="71"/>
      <c r="O148" s="72"/>
      <c r="P148" s="68"/>
      <c r="Q148" s="68"/>
      <c r="R148" s="69"/>
      <c r="S148" s="69"/>
    </row>
    <row r="149" spans="3:19" ht="12.75" x14ac:dyDescent="0.2">
      <c r="E149" s="73" t="s">
        <v>321</v>
      </c>
      <c r="F149" s="78" t="s">
        <v>322</v>
      </c>
      <c r="G149" s="78"/>
      <c r="H149" s="72"/>
      <c r="I149" s="78" t="s">
        <v>323</v>
      </c>
      <c r="J149" s="78"/>
      <c r="K149" s="78"/>
      <c r="L149" s="72"/>
      <c r="M149" s="78" t="s">
        <v>324</v>
      </c>
      <c r="N149" s="78"/>
      <c r="O149" s="24"/>
      <c r="P149" s="68"/>
      <c r="Q149" s="68"/>
      <c r="R149" s="69"/>
      <c r="S149" s="69"/>
    </row>
    <row r="150" spans="3:19" ht="12.75" x14ac:dyDescent="0.2">
      <c r="E150" s="73" t="s">
        <v>325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68"/>
      <c r="Q150" s="68"/>
      <c r="R150" s="69"/>
      <c r="S150" s="69"/>
    </row>
    <row r="151" spans="3:19" ht="12.75" x14ac:dyDescent="0.2">
      <c r="E151" s="73" t="s">
        <v>326</v>
      </c>
      <c r="F151" s="79" t="str">
        <f>IF([7]Титульный!G46="","",[7]Титульный!G46)</f>
        <v>(495) 637 3220</v>
      </c>
      <c r="G151" s="79"/>
      <c r="H151" s="79"/>
      <c r="I151" s="24"/>
      <c r="J151" s="73" t="s">
        <v>327</v>
      </c>
      <c r="K151" s="76"/>
      <c r="L151" s="24"/>
      <c r="M151" s="24"/>
      <c r="N151" s="24"/>
      <c r="O151" s="24"/>
      <c r="P151" s="68"/>
      <c r="Q151" s="68"/>
      <c r="R151" s="69"/>
      <c r="S151" s="69"/>
    </row>
    <row r="152" spans="3:19" ht="12.75" x14ac:dyDescent="0.2">
      <c r="E152" s="24" t="s">
        <v>328</v>
      </c>
      <c r="F152" s="80" t="s">
        <v>329</v>
      </c>
      <c r="G152" s="80"/>
      <c r="H152" s="80"/>
      <c r="I152" s="24"/>
      <c r="J152" s="75" t="s">
        <v>330</v>
      </c>
      <c r="K152" s="75"/>
      <c r="L152" s="24"/>
      <c r="M152" s="24"/>
      <c r="N152" s="24"/>
      <c r="O152" s="24"/>
      <c r="P152" s="68"/>
      <c r="Q152" s="68"/>
      <c r="R152" s="69"/>
      <c r="S152" s="69"/>
    </row>
    <row r="153" spans="3:19" x14ac:dyDescent="0.25"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9"/>
      <c r="S153" s="69"/>
    </row>
    <row r="154" spans="3:19" x14ac:dyDescent="0.25"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9"/>
      <c r="S154" s="69"/>
    </row>
    <row r="155" spans="3:19" x14ac:dyDescent="0.25"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9"/>
      <c r="S155" s="69"/>
    </row>
    <row r="156" spans="3:19" x14ac:dyDescent="0.25"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9"/>
      <c r="S156" s="69"/>
    </row>
    <row r="157" spans="3:19" x14ac:dyDescent="0.25"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9"/>
      <c r="S157" s="69"/>
    </row>
    <row r="158" spans="3:19" x14ac:dyDescent="0.25"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9"/>
      <c r="S158" s="69"/>
    </row>
    <row r="159" spans="3:19" x14ac:dyDescent="0.25"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  <c r="S159" s="69"/>
    </row>
    <row r="160" spans="3:19" x14ac:dyDescent="0.25"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9"/>
      <c r="S160" s="69"/>
    </row>
    <row r="161" spans="5:19" x14ac:dyDescent="0.25"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9"/>
      <c r="S161" s="69"/>
    </row>
    <row r="162" spans="5:19" x14ac:dyDescent="0.25"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9"/>
      <c r="S162" s="69"/>
    </row>
    <row r="163" spans="5:19" x14ac:dyDescent="0.25"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9"/>
      <c r="S163" s="69"/>
    </row>
    <row r="164" spans="5:19" x14ac:dyDescent="0.25"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9"/>
      <c r="S164" s="69"/>
    </row>
    <row r="165" spans="5:19" x14ac:dyDescent="0.25"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9"/>
      <c r="S165" s="69"/>
    </row>
    <row r="166" spans="5:19" x14ac:dyDescent="0.25"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9"/>
      <c r="S166" s="69"/>
    </row>
    <row r="167" spans="5:19" x14ac:dyDescent="0.25"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9"/>
      <c r="S167" s="69"/>
    </row>
    <row r="168" spans="5:19" x14ac:dyDescent="0.25"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9"/>
      <c r="S168" s="69"/>
    </row>
    <row r="169" spans="5:19" x14ac:dyDescent="0.25"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9"/>
      <c r="S169" s="69"/>
    </row>
    <row r="170" spans="5:19" x14ac:dyDescent="0.25"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9"/>
      <c r="S170" s="69"/>
    </row>
    <row r="171" spans="5:19" x14ac:dyDescent="0.25"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9"/>
      <c r="S171" s="69"/>
    </row>
    <row r="172" spans="5:19" x14ac:dyDescent="0.25"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9"/>
      <c r="S172" s="69"/>
    </row>
    <row r="173" spans="5:19" x14ac:dyDescent="0.25"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9"/>
      <c r="S173" s="69"/>
    </row>
    <row r="174" spans="5:19" x14ac:dyDescent="0.25"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9"/>
      <c r="S174" s="69"/>
    </row>
    <row r="175" spans="5:19" x14ac:dyDescent="0.25"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9"/>
      <c r="S175" s="69"/>
    </row>
    <row r="176" spans="5:19" x14ac:dyDescent="0.25"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9"/>
      <c r="S176" s="69"/>
    </row>
    <row r="177" spans="5:19" x14ac:dyDescent="0.25"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9"/>
      <c r="S177" s="69"/>
    </row>
    <row r="178" spans="5:19" x14ac:dyDescent="0.25"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</row>
    <row r="179" spans="5:19" x14ac:dyDescent="0.25"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5:19" x14ac:dyDescent="0.25"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5:19" x14ac:dyDescent="0.25"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</sheetData>
  <mergeCells count="18">
    <mergeCell ref="F148:G148"/>
    <mergeCell ref="I148:K148"/>
    <mergeCell ref="D8:E8"/>
    <mergeCell ref="D11:D12"/>
    <mergeCell ref="E11:E12"/>
    <mergeCell ref="F11:F12"/>
    <mergeCell ref="G11:G12"/>
    <mergeCell ref="H11:K11"/>
    <mergeCell ref="D14:K14"/>
    <mergeCell ref="D51:K51"/>
    <mergeCell ref="D88:K88"/>
    <mergeCell ref="D92:K92"/>
    <mergeCell ref="D125:K125"/>
    <mergeCell ref="F149:G149"/>
    <mergeCell ref="I149:K149"/>
    <mergeCell ref="M149:N149"/>
    <mergeCell ref="F151:H151"/>
    <mergeCell ref="F152:H152"/>
  </mergeCells>
  <dataValidations count="2">
    <dataValidation allowBlank="1" showInputMessage="1" promptTitle="Ввод" prompt="Для выбора организации необходимо два раза нажать левую клавишу мыши!" sqref="E25 E62"/>
    <dataValidation type="decimal" allowBlank="1" showErrorMessage="1" errorTitle="Ошибка" error="Допускается ввод только действительных чисел!" sqref="G27:K40 G89:K91 G93:K124 G52:K55 G23:K25 G79:K87 G20:K21 G64:K77 G42:K50 G15:K18 G126:K146 G57:K58 G60:K6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Y181"/>
  <sheetViews>
    <sheetView view="pageBreakPreview" topLeftCell="C7" zoomScaleNormal="100" zoomScaleSheetLayoutView="100" workbookViewId="0">
      <selection activeCell="K8" sqref="K8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idden="1" x14ac:dyDescent="0.25">
      <c r="S1" s="2"/>
      <c r="T1" s="2"/>
      <c r="U1" s="2"/>
      <c r="V1" s="2"/>
      <c r="Y1" s="2"/>
      <c r="AN1" s="2"/>
      <c r="AO1" s="2"/>
      <c r="AP1" s="2"/>
      <c r="BC1" s="2"/>
      <c r="BF1" s="2"/>
      <c r="BI1" s="2"/>
      <c r="BJ1" s="2"/>
      <c r="BX1" s="2"/>
      <c r="BY1" s="2"/>
    </row>
    <row r="2" spans="1:77" hidden="1" x14ac:dyDescent="0.25"/>
    <row r="3" spans="1:77" hidden="1" x14ac:dyDescent="0.25"/>
    <row r="4" spans="1:77" hidden="1" x14ac:dyDescent="0.2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idden="1" x14ac:dyDescent="0.2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idden="1" x14ac:dyDescent="0.25">
      <c r="A6" s="5"/>
    </row>
    <row r="7" spans="1:77" ht="12" customHeight="1" x14ac:dyDescent="0.25">
      <c r="A7" s="5"/>
      <c r="D7" s="6"/>
      <c r="E7" s="6"/>
      <c r="F7" s="6"/>
      <c r="G7" s="6"/>
      <c r="H7" s="6"/>
      <c r="I7" s="6"/>
      <c r="J7" s="6"/>
      <c r="K7" s="7" t="s">
        <v>338</v>
      </c>
      <c r="Q7" s="8"/>
    </row>
    <row r="8" spans="1:77" ht="22.5" customHeight="1" x14ac:dyDescent="0.25">
      <c r="A8" s="5"/>
      <c r="D8" s="81" t="s">
        <v>11</v>
      </c>
      <c r="E8" s="8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77" x14ac:dyDescent="0.25">
      <c r="A9" s="5"/>
      <c r="D9" s="10" t="str">
        <f>IF(org="","Не определено",org)</f>
        <v>ЗАО "Коттон Вэй"</v>
      </c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77" ht="12" customHeight="1" x14ac:dyDescent="0.25">
      <c r="D10" s="11"/>
      <c r="E10" s="11"/>
      <c r="F10" s="6"/>
      <c r="G10" s="6"/>
      <c r="H10" s="6"/>
      <c r="I10" s="6"/>
      <c r="K10" s="12" t="s">
        <v>12</v>
      </c>
    </row>
    <row r="11" spans="1:77" ht="15" customHeight="1" x14ac:dyDescent="0.25">
      <c r="C11" s="6"/>
      <c r="D11" s="82" t="s">
        <v>13</v>
      </c>
      <c r="E11" s="84" t="s">
        <v>14</v>
      </c>
      <c r="F11" s="84" t="s">
        <v>15</v>
      </c>
      <c r="G11" s="84" t="s">
        <v>16</v>
      </c>
      <c r="H11" s="84" t="s">
        <v>17</v>
      </c>
      <c r="I11" s="84"/>
      <c r="J11" s="84"/>
      <c r="K11" s="86"/>
      <c r="L11" s="13"/>
    </row>
    <row r="12" spans="1:77" ht="15" customHeight="1" x14ac:dyDescent="0.25">
      <c r="C12" s="6"/>
      <c r="D12" s="83"/>
      <c r="E12" s="85"/>
      <c r="F12" s="85"/>
      <c r="G12" s="85"/>
      <c r="H12" s="77" t="s">
        <v>18</v>
      </c>
      <c r="I12" s="77" t="s">
        <v>19</v>
      </c>
      <c r="J12" s="77" t="s">
        <v>20</v>
      </c>
      <c r="K12" s="15" t="s">
        <v>21</v>
      </c>
      <c r="L12" s="13"/>
    </row>
    <row r="13" spans="1:77" ht="12" customHeight="1" x14ac:dyDescent="0.25">
      <c r="D13" s="16">
        <v>0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</row>
    <row r="14" spans="1:77" s="17" customFormat="1" ht="15" customHeight="1" x14ac:dyDescent="0.25">
      <c r="C14" s="18"/>
      <c r="D14" s="87" t="s">
        <v>22</v>
      </c>
      <c r="E14" s="88"/>
      <c r="F14" s="88"/>
      <c r="G14" s="88"/>
      <c r="H14" s="88"/>
      <c r="I14" s="88"/>
      <c r="J14" s="88"/>
      <c r="K14" s="89"/>
      <c r="L14" s="19"/>
    </row>
    <row r="15" spans="1:77" s="17" customFormat="1" ht="15" customHeight="1" x14ac:dyDescent="0.2">
      <c r="C15" s="18"/>
      <c r="D15" s="20" t="s">
        <v>23</v>
      </c>
      <c r="E15" s="21" t="s">
        <v>24</v>
      </c>
      <c r="F15" s="22">
        <v>10</v>
      </c>
      <c r="G15" s="23">
        <f>SUM(H15:K15)</f>
        <v>1566.2149999999999</v>
      </c>
      <c r="H15" s="23">
        <f>H16+H17+H20+H23</f>
        <v>1240.674</v>
      </c>
      <c r="I15" s="23">
        <f>I16+I17+I20+I23</f>
        <v>0</v>
      </c>
      <c r="J15" s="23">
        <f>J16+J17+J20+J23</f>
        <v>325.541</v>
      </c>
      <c r="K15" s="23">
        <f>K16+K17+K20+K23</f>
        <v>0</v>
      </c>
      <c r="L15" s="19"/>
      <c r="M15" s="24"/>
      <c r="P15" s="25">
        <v>10</v>
      </c>
    </row>
    <row r="16" spans="1:77" s="17" customFormat="1" ht="15" customHeight="1" x14ac:dyDescent="0.2">
      <c r="C16" s="18"/>
      <c r="D16" s="20" t="s">
        <v>25</v>
      </c>
      <c r="E16" s="26" t="s">
        <v>26</v>
      </c>
      <c r="F16" s="22">
        <v>20</v>
      </c>
      <c r="G16" s="23">
        <f t="shared" ref="G16:G132" si="0">SUM(H16:K16)</f>
        <v>0</v>
      </c>
      <c r="H16" s="27"/>
      <c r="I16" s="27"/>
      <c r="J16" s="27"/>
      <c r="K16" s="27"/>
      <c r="L16" s="19"/>
      <c r="M16" s="24"/>
      <c r="P16" s="25">
        <v>20</v>
      </c>
    </row>
    <row r="17" spans="3:16" s="17" customFormat="1" ht="12.75" x14ac:dyDescent="0.2">
      <c r="C17" s="18"/>
      <c r="D17" s="20" t="s">
        <v>27</v>
      </c>
      <c r="E17" s="26" t="s">
        <v>28</v>
      </c>
      <c r="F17" s="22">
        <v>30</v>
      </c>
      <c r="G17" s="23">
        <f t="shared" si="0"/>
        <v>0</v>
      </c>
      <c r="H17" s="23">
        <f>SUM(H18:H19)</f>
        <v>0</v>
      </c>
      <c r="I17" s="23">
        <f>SUM(I18:I19)</f>
        <v>0</v>
      </c>
      <c r="J17" s="23">
        <f>SUM(J18:J19)</f>
        <v>0</v>
      </c>
      <c r="K17" s="23">
        <f>SUM(K18:K19)</f>
        <v>0</v>
      </c>
      <c r="L17" s="19"/>
      <c r="M17" s="24"/>
      <c r="P17" s="25">
        <v>30</v>
      </c>
    </row>
    <row r="18" spans="3:16" s="17" customFormat="1" ht="12.75" x14ac:dyDescent="0.2">
      <c r="C18" s="18"/>
      <c r="D18" s="28" t="s">
        <v>29</v>
      </c>
      <c r="E18" s="29"/>
      <c r="F18" s="30" t="s">
        <v>30</v>
      </c>
      <c r="G18" s="31"/>
      <c r="H18" s="31"/>
      <c r="I18" s="31"/>
      <c r="J18" s="31"/>
      <c r="K18" s="31"/>
      <c r="L18" s="19"/>
      <c r="M18" s="24"/>
      <c r="P18" s="25"/>
    </row>
    <row r="19" spans="3:16" s="17" customFormat="1" ht="12.75" x14ac:dyDescent="0.2">
      <c r="C19" s="18"/>
      <c r="D19" s="32"/>
      <c r="E19" s="33" t="s">
        <v>31</v>
      </c>
      <c r="F19" s="34"/>
      <c r="G19" s="34"/>
      <c r="H19" s="34"/>
      <c r="I19" s="34"/>
      <c r="J19" s="34"/>
      <c r="K19" s="35"/>
      <c r="L19" s="19"/>
      <c r="M19" s="24"/>
      <c r="P19" s="36"/>
    </row>
    <row r="20" spans="3:16" s="17" customFormat="1" ht="12.75" x14ac:dyDescent="0.2">
      <c r="C20" s="18"/>
      <c r="D20" s="20" t="s">
        <v>32</v>
      </c>
      <c r="E20" s="26" t="s">
        <v>33</v>
      </c>
      <c r="F20" s="22" t="s">
        <v>34</v>
      </c>
      <c r="G20" s="23">
        <f t="shared" si="0"/>
        <v>0</v>
      </c>
      <c r="H20" s="23">
        <f>SUM(H21:H22)</f>
        <v>0</v>
      </c>
      <c r="I20" s="23">
        <f>SUM(I21:I22)</f>
        <v>0</v>
      </c>
      <c r="J20" s="23">
        <f>SUM(J21:J22)</f>
        <v>0</v>
      </c>
      <c r="K20" s="23">
        <f>SUM(K21:K22)</f>
        <v>0</v>
      </c>
      <c r="L20" s="19"/>
      <c r="M20" s="24"/>
      <c r="P20" s="36"/>
    </row>
    <row r="21" spans="3:16" s="17" customFormat="1" ht="12.75" x14ac:dyDescent="0.2">
      <c r="C21" s="18"/>
      <c r="D21" s="28" t="s">
        <v>35</v>
      </c>
      <c r="E21" s="29"/>
      <c r="F21" s="30" t="s">
        <v>34</v>
      </c>
      <c r="G21" s="31"/>
      <c r="H21" s="31"/>
      <c r="I21" s="31"/>
      <c r="J21" s="31"/>
      <c r="K21" s="31"/>
      <c r="L21" s="19"/>
      <c r="M21" s="24"/>
      <c r="P21" s="25"/>
    </row>
    <row r="22" spans="3:16" s="17" customFormat="1" ht="12.75" x14ac:dyDescent="0.2">
      <c r="C22" s="18"/>
      <c r="D22" s="32"/>
      <c r="E22" s="33" t="s">
        <v>31</v>
      </c>
      <c r="F22" s="34"/>
      <c r="G22" s="34"/>
      <c r="H22" s="34"/>
      <c r="I22" s="34"/>
      <c r="J22" s="34"/>
      <c r="K22" s="35"/>
      <c r="L22" s="19"/>
      <c r="M22" s="24"/>
      <c r="P22" s="36"/>
    </row>
    <row r="23" spans="3:16" s="17" customFormat="1" ht="12.75" x14ac:dyDescent="0.2">
      <c r="C23" s="18"/>
      <c r="D23" s="20" t="s">
        <v>36</v>
      </c>
      <c r="E23" s="26" t="s">
        <v>37</v>
      </c>
      <c r="F23" s="22" t="s">
        <v>38</v>
      </c>
      <c r="G23" s="23">
        <f t="shared" si="0"/>
        <v>1566.2149999999999</v>
      </c>
      <c r="H23" s="23">
        <f>SUM(H24:H26)</f>
        <v>1240.674</v>
      </c>
      <c r="I23" s="23">
        <f>SUM(I24:I26)</f>
        <v>0</v>
      </c>
      <c r="J23" s="23">
        <f>SUM(J24:J26)</f>
        <v>325.541</v>
      </c>
      <c r="K23" s="23">
        <f>SUM(K24:K26)</f>
        <v>0</v>
      </c>
      <c r="L23" s="19"/>
      <c r="M23" s="24"/>
      <c r="P23" s="25">
        <v>40</v>
      </c>
    </row>
    <row r="24" spans="3:16" s="17" customFormat="1" ht="12.75" x14ac:dyDescent="0.2">
      <c r="C24" s="18"/>
      <c r="D24" s="28" t="s">
        <v>39</v>
      </c>
      <c r="E24" s="29"/>
      <c r="F24" s="30" t="s">
        <v>38</v>
      </c>
      <c r="G24" s="31"/>
      <c r="H24" s="31"/>
      <c r="I24" s="31"/>
      <c r="J24" s="31"/>
      <c r="K24" s="31"/>
      <c r="L24" s="19"/>
      <c r="M24" s="24"/>
      <c r="P24" s="25"/>
    </row>
    <row r="25" spans="3:16" s="17" customFormat="1" ht="15" x14ac:dyDescent="0.25">
      <c r="C25" s="37" t="s">
        <v>40</v>
      </c>
      <c r="D25" s="38" t="s">
        <v>41</v>
      </c>
      <c r="E25" s="39" t="s">
        <v>42</v>
      </c>
      <c r="F25" s="40">
        <v>431</v>
      </c>
      <c r="G25" s="41">
        <f>SUM(H25:K25)</f>
        <v>1566.2149999999999</v>
      </c>
      <c r="H25" s="42">
        <v>1240.674</v>
      </c>
      <c r="I25" s="42">
        <v>0</v>
      </c>
      <c r="J25" s="42">
        <v>325.541</v>
      </c>
      <c r="K25" s="42">
        <v>0</v>
      </c>
      <c r="L25" s="19"/>
      <c r="M25" s="43" t="s">
        <v>43</v>
      </c>
      <c r="N25" s="44" t="s">
        <v>44</v>
      </c>
      <c r="O25" s="44" t="s">
        <v>45</v>
      </c>
    </row>
    <row r="26" spans="3:16" s="17" customFormat="1" ht="12.75" x14ac:dyDescent="0.2">
      <c r="C26" s="18"/>
      <c r="D26" s="32"/>
      <c r="E26" s="33" t="s">
        <v>31</v>
      </c>
      <c r="F26" s="34"/>
      <c r="G26" s="34"/>
      <c r="H26" s="34"/>
      <c r="I26" s="34"/>
      <c r="J26" s="34"/>
      <c r="K26" s="35"/>
      <c r="L26" s="19"/>
      <c r="M26" s="24"/>
      <c r="P26" s="25"/>
    </row>
    <row r="27" spans="3:16" s="17" customFormat="1" ht="12.75" x14ac:dyDescent="0.2">
      <c r="C27" s="18"/>
      <c r="D27" s="20" t="s">
        <v>46</v>
      </c>
      <c r="E27" s="21" t="s">
        <v>47</v>
      </c>
      <c r="F27" s="22" t="s">
        <v>48</v>
      </c>
      <c r="G27" s="23">
        <f t="shared" si="0"/>
        <v>2650.4489999999996</v>
      </c>
      <c r="H27" s="23">
        <f>H29+H30+H31</f>
        <v>0</v>
      </c>
      <c r="I27" s="23">
        <f>I28+I30+I31</f>
        <v>0</v>
      </c>
      <c r="J27" s="23">
        <f>J28+J29+J31</f>
        <v>1240.674</v>
      </c>
      <c r="K27" s="23">
        <f>K28+K29+K30</f>
        <v>1409.7749999999999</v>
      </c>
      <c r="L27" s="19"/>
      <c r="M27" s="24"/>
      <c r="P27" s="25">
        <v>50</v>
      </c>
    </row>
    <row r="28" spans="3:16" s="17" customFormat="1" ht="12.75" x14ac:dyDescent="0.2">
      <c r="C28" s="18"/>
      <c r="D28" s="20" t="s">
        <v>49</v>
      </c>
      <c r="E28" s="26" t="s">
        <v>18</v>
      </c>
      <c r="F28" s="22" t="s">
        <v>50</v>
      </c>
      <c r="G28" s="23">
        <f t="shared" si="0"/>
        <v>1240.674</v>
      </c>
      <c r="H28" s="45"/>
      <c r="I28" s="27"/>
      <c r="J28" s="27">
        <f>H25</f>
        <v>1240.674</v>
      </c>
      <c r="K28" s="27"/>
      <c r="L28" s="19"/>
      <c r="M28" s="24"/>
      <c r="P28" s="25">
        <v>60</v>
      </c>
    </row>
    <row r="29" spans="3:16" s="17" customFormat="1" ht="12.75" x14ac:dyDescent="0.2">
      <c r="C29" s="18"/>
      <c r="D29" s="20" t="s">
        <v>51</v>
      </c>
      <c r="E29" s="26" t="s">
        <v>19</v>
      </c>
      <c r="F29" s="22" t="s">
        <v>52</v>
      </c>
      <c r="G29" s="23">
        <f t="shared" si="0"/>
        <v>0</v>
      </c>
      <c r="H29" s="27"/>
      <c r="I29" s="45"/>
      <c r="J29" s="27"/>
      <c r="K29" s="27"/>
      <c r="L29" s="19"/>
      <c r="M29" s="24"/>
      <c r="P29" s="25">
        <v>70</v>
      </c>
    </row>
    <row r="30" spans="3:16" s="17" customFormat="1" ht="12.75" x14ac:dyDescent="0.2">
      <c r="C30" s="18"/>
      <c r="D30" s="20" t="s">
        <v>53</v>
      </c>
      <c r="E30" s="26" t="s">
        <v>20</v>
      </c>
      <c r="F30" s="22" t="s">
        <v>54</v>
      </c>
      <c r="G30" s="23">
        <f t="shared" si="0"/>
        <v>1409.7749999999999</v>
      </c>
      <c r="H30" s="27"/>
      <c r="I30" s="27"/>
      <c r="J30" s="45"/>
      <c r="K30" s="27">
        <f>H25+J25-J36-J46</f>
        <v>1409.7749999999999</v>
      </c>
      <c r="L30" s="19"/>
      <c r="M30" s="24"/>
      <c r="P30" s="25">
        <v>80</v>
      </c>
    </row>
    <row r="31" spans="3:16" s="17" customFormat="1" ht="12.75" x14ac:dyDescent="0.2">
      <c r="C31" s="18"/>
      <c r="D31" s="20" t="s">
        <v>55</v>
      </c>
      <c r="E31" s="26" t="s">
        <v>56</v>
      </c>
      <c r="F31" s="22" t="s">
        <v>57</v>
      </c>
      <c r="G31" s="23">
        <f t="shared" si="0"/>
        <v>0</v>
      </c>
      <c r="H31" s="27"/>
      <c r="I31" s="27"/>
      <c r="J31" s="27"/>
      <c r="K31" s="45"/>
      <c r="L31" s="19"/>
      <c r="M31" s="24"/>
      <c r="P31" s="25">
        <v>90</v>
      </c>
    </row>
    <row r="32" spans="3:16" s="17" customFormat="1" ht="12.75" x14ac:dyDescent="0.2">
      <c r="C32" s="18"/>
      <c r="D32" s="20" t="s">
        <v>58</v>
      </c>
      <c r="E32" s="46" t="s">
        <v>59</v>
      </c>
      <c r="F32" s="22" t="s">
        <v>60</v>
      </c>
      <c r="G32" s="23">
        <f t="shared" si="0"/>
        <v>0</v>
      </c>
      <c r="H32" s="27"/>
      <c r="I32" s="27"/>
      <c r="J32" s="27"/>
      <c r="K32" s="27"/>
      <c r="L32" s="19"/>
      <c r="M32" s="24"/>
      <c r="P32" s="25"/>
    </row>
    <row r="33" spans="3:16" s="17" customFormat="1" ht="12.75" x14ac:dyDescent="0.2">
      <c r="C33" s="18"/>
      <c r="D33" s="20" t="s">
        <v>61</v>
      </c>
      <c r="E33" s="21" t="s">
        <v>62</v>
      </c>
      <c r="F33" s="47" t="s">
        <v>63</v>
      </c>
      <c r="G33" s="23">
        <f t="shared" si="0"/>
        <v>1596.307</v>
      </c>
      <c r="H33" s="23">
        <f>H34+H36+H39+H42</f>
        <v>0</v>
      </c>
      <c r="I33" s="23">
        <f>I34+I36+I39+I42</f>
        <v>0</v>
      </c>
      <c r="J33" s="23">
        <f>J34+J36+J39+J42</f>
        <v>156.44</v>
      </c>
      <c r="K33" s="23">
        <f>K34+K36+K39+K42</f>
        <v>1439.867</v>
      </c>
      <c r="L33" s="19"/>
      <c r="M33" s="24"/>
      <c r="P33" s="25">
        <v>100</v>
      </c>
    </row>
    <row r="34" spans="3:16" s="17" customFormat="1" ht="22.5" x14ac:dyDescent="0.2">
      <c r="C34" s="18"/>
      <c r="D34" s="20" t="s">
        <v>64</v>
      </c>
      <c r="E34" s="26" t="s">
        <v>65</v>
      </c>
      <c r="F34" s="22" t="s">
        <v>66</v>
      </c>
      <c r="G34" s="23">
        <f t="shared" si="0"/>
        <v>0</v>
      </c>
      <c r="H34" s="27"/>
      <c r="I34" s="27"/>
      <c r="J34" s="27"/>
      <c r="K34" s="27"/>
      <c r="L34" s="19"/>
      <c r="M34" s="24"/>
      <c r="P34" s="25"/>
    </row>
    <row r="35" spans="3:16" s="17" customFormat="1" ht="12.75" x14ac:dyDescent="0.2">
      <c r="C35" s="18"/>
      <c r="D35" s="20" t="s">
        <v>67</v>
      </c>
      <c r="E35" s="48" t="s">
        <v>68</v>
      </c>
      <c r="F35" s="22" t="s">
        <v>69</v>
      </c>
      <c r="G35" s="23">
        <f t="shared" si="0"/>
        <v>0</v>
      </c>
      <c r="H35" s="27"/>
      <c r="I35" s="27"/>
      <c r="J35" s="27"/>
      <c r="K35" s="27"/>
      <c r="L35" s="19"/>
      <c r="M35" s="24"/>
      <c r="P35" s="25"/>
    </row>
    <row r="36" spans="3:16" s="17" customFormat="1" ht="12.75" x14ac:dyDescent="0.2">
      <c r="C36" s="18"/>
      <c r="D36" s="20" t="s">
        <v>70</v>
      </c>
      <c r="E36" s="26" t="s">
        <v>71</v>
      </c>
      <c r="F36" s="22" t="s">
        <v>72</v>
      </c>
      <c r="G36" s="23">
        <f t="shared" si="0"/>
        <v>1596.307</v>
      </c>
      <c r="H36" s="27">
        <v>0</v>
      </c>
      <c r="I36" s="27">
        <v>0</v>
      </c>
      <c r="J36" s="27">
        <v>156.44</v>
      </c>
      <c r="K36" s="27">
        <f>1439.867</f>
        <v>1439.867</v>
      </c>
      <c r="L36" s="19"/>
      <c r="M36" s="24"/>
      <c r="P36" s="25"/>
    </row>
    <row r="37" spans="3:16" s="17" customFormat="1" ht="12.75" x14ac:dyDescent="0.2">
      <c r="C37" s="18"/>
      <c r="D37" s="20" t="s">
        <v>73</v>
      </c>
      <c r="E37" s="48" t="s">
        <v>74</v>
      </c>
      <c r="F37" s="22" t="s">
        <v>75</v>
      </c>
      <c r="G37" s="23">
        <f t="shared" si="0"/>
        <v>0</v>
      </c>
      <c r="H37" s="27"/>
      <c r="I37" s="27"/>
      <c r="J37" s="27"/>
      <c r="K37" s="27"/>
      <c r="L37" s="19"/>
      <c r="M37" s="24"/>
      <c r="P37" s="25"/>
    </row>
    <row r="38" spans="3:16" s="17" customFormat="1" ht="12.75" x14ac:dyDescent="0.2">
      <c r="C38" s="18"/>
      <c r="D38" s="20" t="s">
        <v>76</v>
      </c>
      <c r="E38" s="49" t="s">
        <v>68</v>
      </c>
      <c r="F38" s="22" t="s">
        <v>77</v>
      </c>
      <c r="G38" s="23">
        <f t="shared" si="0"/>
        <v>0</v>
      </c>
      <c r="H38" s="27"/>
      <c r="I38" s="27"/>
      <c r="J38" s="27"/>
      <c r="K38" s="27"/>
      <c r="L38" s="19"/>
      <c r="M38" s="24"/>
      <c r="P38" s="25"/>
    </row>
    <row r="39" spans="3:16" s="17" customFormat="1" ht="12.75" x14ac:dyDescent="0.2">
      <c r="C39" s="18"/>
      <c r="D39" s="20" t="s">
        <v>78</v>
      </c>
      <c r="E39" s="26" t="s">
        <v>79</v>
      </c>
      <c r="F39" s="22" t="s">
        <v>80</v>
      </c>
      <c r="G39" s="23">
        <f t="shared" si="0"/>
        <v>0</v>
      </c>
      <c r="H39" s="23">
        <f>SUM(H40:H41)</f>
        <v>0</v>
      </c>
      <c r="I39" s="23">
        <f>SUM(I40:I41)</f>
        <v>0</v>
      </c>
      <c r="J39" s="23">
        <f>SUM(J40:J41)</f>
        <v>0</v>
      </c>
      <c r="K39" s="23">
        <f>SUM(K40:K41)</f>
        <v>0</v>
      </c>
      <c r="L39" s="19"/>
      <c r="M39" s="24"/>
      <c r="P39" s="25"/>
    </row>
    <row r="40" spans="3:16" s="17" customFormat="1" ht="12.75" x14ac:dyDescent="0.2">
      <c r="C40" s="18"/>
      <c r="D40" s="28" t="s">
        <v>81</v>
      </c>
      <c r="E40" s="29"/>
      <c r="F40" s="30" t="s">
        <v>80</v>
      </c>
      <c r="G40" s="31"/>
      <c r="H40" s="31"/>
      <c r="I40" s="31"/>
      <c r="J40" s="31"/>
      <c r="K40" s="31"/>
      <c r="L40" s="19"/>
      <c r="M40" s="24"/>
      <c r="P40" s="25"/>
    </row>
    <row r="41" spans="3:16" s="17" customFormat="1" ht="12.75" x14ac:dyDescent="0.2">
      <c r="C41" s="18"/>
      <c r="D41" s="50"/>
      <c r="E41" s="33" t="s">
        <v>31</v>
      </c>
      <c r="F41" s="34"/>
      <c r="G41" s="34"/>
      <c r="H41" s="34"/>
      <c r="I41" s="34"/>
      <c r="J41" s="34"/>
      <c r="K41" s="35"/>
      <c r="L41" s="19"/>
      <c r="M41" s="24"/>
      <c r="P41" s="25"/>
    </row>
    <row r="42" spans="3:16" s="17" customFormat="1" ht="12.75" x14ac:dyDescent="0.2">
      <c r="C42" s="18"/>
      <c r="D42" s="20" t="s">
        <v>82</v>
      </c>
      <c r="E42" s="51" t="s">
        <v>83</v>
      </c>
      <c r="F42" s="22" t="s">
        <v>84</v>
      </c>
      <c r="G42" s="23">
        <f t="shared" si="0"/>
        <v>0</v>
      </c>
      <c r="H42" s="27"/>
      <c r="I42" s="27"/>
      <c r="J42" s="27"/>
      <c r="K42" s="27"/>
      <c r="L42" s="19"/>
      <c r="M42" s="24"/>
      <c r="P42" s="25">
        <v>120</v>
      </c>
    </row>
    <row r="43" spans="3:16" s="17" customFormat="1" ht="12.75" x14ac:dyDescent="0.2">
      <c r="C43" s="18"/>
      <c r="D43" s="20" t="s">
        <v>85</v>
      </c>
      <c r="E43" s="21" t="s">
        <v>86</v>
      </c>
      <c r="F43" s="22" t="s">
        <v>87</v>
      </c>
      <c r="G43" s="23">
        <f t="shared" si="0"/>
        <v>2650.4489999999996</v>
      </c>
      <c r="H43" s="27">
        <f>J28</f>
        <v>1240.674</v>
      </c>
      <c r="I43" s="27"/>
      <c r="J43" s="27">
        <f>K30</f>
        <v>1409.7749999999999</v>
      </c>
      <c r="K43" s="27"/>
      <c r="L43" s="19"/>
      <c r="M43" s="24"/>
      <c r="P43" s="25">
        <v>150</v>
      </c>
    </row>
    <row r="44" spans="3:16" s="17" customFormat="1" ht="12.75" x14ac:dyDescent="0.2">
      <c r="C44" s="18"/>
      <c r="D44" s="20" t="s">
        <v>88</v>
      </c>
      <c r="E44" s="21" t="s">
        <v>89</v>
      </c>
      <c r="F44" s="22" t="s">
        <v>90</v>
      </c>
      <c r="G44" s="23">
        <f t="shared" si="0"/>
        <v>0</v>
      </c>
      <c r="H44" s="27"/>
      <c r="I44" s="27"/>
      <c r="J44" s="27"/>
      <c r="K44" s="27"/>
      <c r="L44" s="19"/>
      <c r="M44" s="24"/>
      <c r="P44" s="25">
        <v>160</v>
      </c>
    </row>
    <row r="45" spans="3:16" s="17" customFormat="1" ht="12.75" x14ac:dyDescent="0.2">
      <c r="C45" s="18"/>
      <c r="D45" s="20" t="s">
        <v>91</v>
      </c>
      <c r="E45" s="21" t="s">
        <v>92</v>
      </c>
      <c r="F45" s="22" t="s">
        <v>93</v>
      </c>
      <c r="G45" s="23">
        <f t="shared" si="0"/>
        <v>0</v>
      </c>
      <c r="H45" s="27"/>
      <c r="I45" s="27"/>
      <c r="J45" s="27"/>
      <c r="K45" s="27"/>
      <c r="L45" s="19"/>
      <c r="M45" s="24"/>
      <c r="P45" s="25">
        <v>180</v>
      </c>
    </row>
    <row r="46" spans="3:16" s="17" customFormat="1" ht="12.75" x14ac:dyDescent="0.2">
      <c r="C46" s="18"/>
      <c r="D46" s="20" t="s">
        <v>94</v>
      </c>
      <c r="E46" s="21" t="s">
        <v>95</v>
      </c>
      <c r="F46" s="22" t="s">
        <v>96</v>
      </c>
      <c r="G46" s="23">
        <f t="shared" si="0"/>
        <v>-30.091999999999999</v>
      </c>
      <c r="H46" s="27"/>
      <c r="I46" s="27"/>
      <c r="J46" s="27"/>
      <c r="K46" s="27">
        <v>-30.091999999999999</v>
      </c>
      <c r="L46" s="19"/>
      <c r="M46" s="24"/>
      <c r="P46" s="25">
        <v>190</v>
      </c>
    </row>
    <row r="47" spans="3:16" s="17" customFormat="1" ht="12.75" x14ac:dyDescent="0.2">
      <c r="C47" s="18"/>
      <c r="D47" s="20" t="s">
        <v>97</v>
      </c>
      <c r="E47" s="26" t="s">
        <v>98</v>
      </c>
      <c r="F47" s="22" t="s">
        <v>99</v>
      </c>
      <c r="G47" s="23">
        <f t="shared" si="0"/>
        <v>0</v>
      </c>
      <c r="H47" s="27"/>
      <c r="I47" s="27"/>
      <c r="J47" s="27">
        <v>0</v>
      </c>
      <c r="K47" s="27">
        <v>0</v>
      </c>
      <c r="L47" s="19"/>
      <c r="M47" s="24"/>
      <c r="P47" s="25">
        <v>200</v>
      </c>
    </row>
    <row r="48" spans="3:16" s="17" customFormat="1" ht="12.75" x14ac:dyDescent="0.2">
      <c r="C48" s="18"/>
      <c r="D48" s="20" t="s">
        <v>100</v>
      </c>
      <c r="E48" s="21" t="s">
        <v>101</v>
      </c>
      <c r="F48" s="22" t="s">
        <v>102</v>
      </c>
      <c r="G48" s="23">
        <f t="shared" si="0"/>
        <v>53.900000000000006</v>
      </c>
      <c r="H48" s="27"/>
      <c r="I48" s="27"/>
      <c r="J48" s="27"/>
      <c r="K48" s="27">
        <f>0.0539*1000</f>
        <v>53.900000000000006</v>
      </c>
      <c r="L48" s="19"/>
      <c r="M48" s="24"/>
      <c r="P48" s="36"/>
    </row>
    <row r="49" spans="3:16" s="17" customFormat="1" ht="22.5" x14ac:dyDescent="0.2">
      <c r="C49" s="18"/>
      <c r="D49" s="20" t="s">
        <v>103</v>
      </c>
      <c r="E49" s="46" t="s">
        <v>104</v>
      </c>
      <c r="F49" s="22" t="s">
        <v>105</v>
      </c>
      <c r="G49" s="23">
        <f t="shared" si="0"/>
        <v>-83.992000000000004</v>
      </c>
      <c r="H49" s="23">
        <f>H46-H48</f>
        <v>0</v>
      </c>
      <c r="I49" s="23">
        <f>I46-I48</f>
        <v>0</v>
      </c>
      <c r="J49" s="23">
        <f>J46-J48</f>
        <v>0</v>
      </c>
      <c r="K49" s="23">
        <f>K46-K48</f>
        <v>-83.992000000000004</v>
      </c>
      <c r="L49" s="19"/>
      <c r="M49" s="24"/>
      <c r="P49" s="36"/>
    </row>
    <row r="50" spans="3:16" s="17" customFormat="1" ht="12.75" x14ac:dyDescent="0.2">
      <c r="C50" s="18"/>
      <c r="D50" s="20" t="s">
        <v>106</v>
      </c>
      <c r="E50" s="21" t="s">
        <v>107</v>
      </c>
      <c r="F50" s="22" t="s">
        <v>108</v>
      </c>
      <c r="G50" s="23">
        <f t="shared" si="0"/>
        <v>0</v>
      </c>
      <c r="H50" s="23">
        <f>(H15+H27+H32)-(H33+H43+H44+H45+H46)</f>
        <v>0</v>
      </c>
      <c r="I50" s="23">
        <f>(I15+I27+I32)-(I33+I43+I44+I45+I46)</f>
        <v>0</v>
      </c>
      <c r="J50" s="23">
        <f>(J15+J27+J32)-(J33+J43+J44+J45+J46)</f>
        <v>0</v>
      </c>
      <c r="K50" s="23">
        <f>(K15+K27+K32)-(K33+K43+K44+K45+K46)</f>
        <v>0</v>
      </c>
      <c r="L50" s="19"/>
      <c r="M50" s="24"/>
      <c r="P50" s="25">
        <v>210</v>
      </c>
    </row>
    <row r="51" spans="3:16" s="17" customFormat="1" ht="12.75" x14ac:dyDescent="0.2">
      <c r="C51" s="18"/>
      <c r="D51" s="87" t="s">
        <v>109</v>
      </c>
      <c r="E51" s="88"/>
      <c r="F51" s="88"/>
      <c r="G51" s="88"/>
      <c r="H51" s="88"/>
      <c r="I51" s="88"/>
      <c r="J51" s="88"/>
      <c r="K51" s="89"/>
      <c r="L51" s="19"/>
      <c r="M51" s="24"/>
      <c r="P51" s="36"/>
    </row>
    <row r="52" spans="3:16" s="17" customFormat="1" ht="12.75" x14ac:dyDescent="0.2">
      <c r="C52" s="18"/>
      <c r="D52" s="20" t="s">
        <v>110</v>
      </c>
      <c r="E52" s="21" t="s">
        <v>24</v>
      </c>
      <c r="F52" s="22" t="s">
        <v>111</v>
      </c>
      <c r="G52" s="23">
        <f t="shared" si="0"/>
        <v>4.2346000000000004</v>
      </c>
      <c r="H52" s="23">
        <f>H53+H54+H57+H60</f>
        <v>1.0163040000000001</v>
      </c>
      <c r="I52" s="23">
        <f>I53+I54+I57+I60</f>
        <v>0</v>
      </c>
      <c r="J52" s="23">
        <f>J53+J54+J57+J60</f>
        <v>3.2182960000000005</v>
      </c>
      <c r="K52" s="23">
        <f>K53+K54+K57+K60</f>
        <v>0</v>
      </c>
      <c r="L52" s="19"/>
      <c r="M52" s="24"/>
      <c r="P52" s="25">
        <v>300</v>
      </c>
    </row>
    <row r="53" spans="3:16" s="17" customFormat="1" ht="12.75" x14ac:dyDescent="0.2">
      <c r="C53" s="18"/>
      <c r="D53" s="20" t="s">
        <v>112</v>
      </c>
      <c r="E53" s="26" t="s">
        <v>26</v>
      </c>
      <c r="F53" s="22" t="s">
        <v>113</v>
      </c>
      <c r="G53" s="23">
        <f t="shared" si="0"/>
        <v>0</v>
      </c>
      <c r="H53" s="27"/>
      <c r="I53" s="27"/>
      <c r="J53" s="27"/>
      <c r="K53" s="27"/>
      <c r="L53" s="19"/>
      <c r="M53" s="24"/>
      <c r="P53" s="25">
        <v>310</v>
      </c>
    </row>
    <row r="54" spans="3:16" s="17" customFormat="1" ht="12.75" x14ac:dyDescent="0.2">
      <c r="C54" s="18"/>
      <c r="D54" s="20" t="s">
        <v>114</v>
      </c>
      <c r="E54" s="26" t="s">
        <v>28</v>
      </c>
      <c r="F54" s="22" t="s">
        <v>115</v>
      </c>
      <c r="G54" s="23">
        <f t="shared" si="0"/>
        <v>0</v>
      </c>
      <c r="H54" s="23">
        <f>SUM(H55:H56)</f>
        <v>0</v>
      </c>
      <c r="I54" s="23">
        <f>SUM(I55:I56)</f>
        <v>0</v>
      </c>
      <c r="J54" s="23">
        <f>SUM(J55:J56)</f>
        <v>0</v>
      </c>
      <c r="K54" s="23">
        <f>SUM(K55:K56)</f>
        <v>0</v>
      </c>
      <c r="L54" s="19"/>
      <c r="M54" s="24"/>
      <c r="P54" s="25">
        <v>320</v>
      </c>
    </row>
    <row r="55" spans="3:16" s="17" customFormat="1" ht="12.75" x14ac:dyDescent="0.2">
      <c r="C55" s="18"/>
      <c r="D55" s="28" t="s">
        <v>116</v>
      </c>
      <c r="E55" s="29"/>
      <c r="F55" s="30" t="s">
        <v>115</v>
      </c>
      <c r="G55" s="31"/>
      <c r="H55" s="31"/>
      <c r="I55" s="31"/>
      <c r="J55" s="31"/>
      <c r="K55" s="31"/>
      <c r="L55" s="19"/>
      <c r="M55" s="24"/>
      <c r="P55" s="25"/>
    </row>
    <row r="56" spans="3:16" s="17" customFormat="1" ht="12.75" x14ac:dyDescent="0.2">
      <c r="C56" s="18"/>
      <c r="D56" s="32"/>
      <c r="E56" s="33" t="s">
        <v>31</v>
      </c>
      <c r="F56" s="34"/>
      <c r="G56" s="34"/>
      <c r="H56" s="34"/>
      <c r="I56" s="34"/>
      <c r="J56" s="34"/>
      <c r="K56" s="35"/>
      <c r="L56" s="19"/>
      <c r="M56" s="24"/>
      <c r="P56" s="25"/>
    </row>
    <row r="57" spans="3:16" s="17" customFormat="1" ht="12.75" x14ac:dyDescent="0.2">
      <c r="C57" s="18"/>
      <c r="D57" s="20" t="s">
        <v>117</v>
      </c>
      <c r="E57" s="26" t="s">
        <v>33</v>
      </c>
      <c r="F57" s="22" t="s">
        <v>118</v>
      </c>
      <c r="G57" s="23">
        <f t="shared" si="0"/>
        <v>0</v>
      </c>
      <c r="H57" s="23">
        <f>SUM(H58:H59)</f>
        <v>0</v>
      </c>
      <c r="I57" s="23">
        <f>SUM(I58:I59)</f>
        <v>0</v>
      </c>
      <c r="J57" s="23">
        <f>SUM(J58:J59)</f>
        <v>0</v>
      </c>
      <c r="K57" s="23">
        <f>SUM(K58:K59)</f>
        <v>0</v>
      </c>
      <c r="L57" s="19"/>
      <c r="M57" s="24"/>
      <c r="P57" s="25"/>
    </row>
    <row r="58" spans="3:16" s="17" customFormat="1" ht="12.75" x14ac:dyDescent="0.2">
      <c r="C58" s="18"/>
      <c r="D58" s="28" t="s">
        <v>119</v>
      </c>
      <c r="E58" s="29"/>
      <c r="F58" s="30" t="s">
        <v>118</v>
      </c>
      <c r="G58" s="31"/>
      <c r="H58" s="31"/>
      <c r="I58" s="31"/>
      <c r="J58" s="31"/>
      <c r="K58" s="31"/>
      <c r="L58" s="19"/>
      <c r="M58" s="24"/>
      <c r="P58" s="25"/>
    </row>
    <row r="59" spans="3:16" s="17" customFormat="1" ht="12.75" x14ac:dyDescent="0.2">
      <c r="C59" s="18"/>
      <c r="D59" s="32"/>
      <c r="E59" s="33" t="s">
        <v>31</v>
      </c>
      <c r="F59" s="34"/>
      <c r="G59" s="34"/>
      <c r="H59" s="34"/>
      <c r="I59" s="34"/>
      <c r="J59" s="34"/>
      <c r="K59" s="35"/>
      <c r="L59" s="19"/>
      <c r="M59" s="24"/>
      <c r="P59" s="25"/>
    </row>
    <row r="60" spans="3:16" s="17" customFormat="1" ht="12.75" x14ac:dyDescent="0.2">
      <c r="C60" s="18"/>
      <c r="D60" s="20" t="s">
        <v>120</v>
      </c>
      <c r="E60" s="26" t="s">
        <v>37</v>
      </c>
      <c r="F60" s="22" t="s">
        <v>121</v>
      </c>
      <c r="G60" s="23">
        <f t="shared" si="0"/>
        <v>4.2346000000000004</v>
      </c>
      <c r="H60" s="23">
        <f>SUM(H61:H63)</f>
        <v>1.0163040000000001</v>
      </c>
      <c r="I60" s="23">
        <f>SUM(I61:I63)</f>
        <v>0</v>
      </c>
      <c r="J60" s="23">
        <f>SUM(J61:J63)</f>
        <v>3.2182960000000005</v>
      </c>
      <c r="K60" s="23">
        <f>SUM(K61:K63)</f>
        <v>0</v>
      </c>
      <c r="L60" s="19"/>
      <c r="M60" s="24"/>
      <c r="P60" s="25">
        <v>330</v>
      </c>
    </row>
    <row r="61" spans="3:16" s="17" customFormat="1" ht="12.75" x14ac:dyDescent="0.2">
      <c r="C61" s="18"/>
      <c r="D61" s="28" t="s">
        <v>122</v>
      </c>
      <c r="E61" s="29"/>
      <c r="F61" s="30" t="s">
        <v>121</v>
      </c>
      <c r="G61" s="31"/>
      <c r="H61" s="31"/>
      <c r="I61" s="31"/>
      <c r="J61" s="31"/>
      <c r="K61" s="31"/>
      <c r="L61" s="19"/>
      <c r="M61" s="24"/>
      <c r="P61" s="25"/>
    </row>
    <row r="62" spans="3:16" s="17" customFormat="1" ht="15" x14ac:dyDescent="0.25">
      <c r="C62" s="37" t="s">
        <v>40</v>
      </c>
      <c r="D62" s="38" t="s">
        <v>123</v>
      </c>
      <c r="E62" s="39" t="s">
        <v>42</v>
      </c>
      <c r="F62" s="40">
        <v>1461</v>
      </c>
      <c r="G62" s="41">
        <f>SUM(H62:K62)</f>
        <v>4.2346000000000004</v>
      </c>
      <c r="H62" s="52">
        <f>4.2346*0.24</f>
        <v>1.0163040000000001</v>
      </c>
      <c r="I62" s="52">
        <v>0</v>
      </c>
      <c r="J62" s="52">
        <f>4.2346-H62</f>
        <v>3.2182960000000005</v>
      </c>
      <c r="K62" s="53">
        <v>0</v>
      </c>
      <c r="L62" s="19"/>
      <c r="M62" s="43" t="s">
        <v>43</v>
      </c>
      <c r="N62" s="44" t="s">
        <v>44</v>
      </c>
      <c r="O62" s="44" t="s">
        <v>45</v>
      </c>
    </row>
    <row r="63" spans="3:16" s="17" customFormat="1" ht="12.75" x14ac:dyDescent="0.2">
      <c r="C63" s="18"/>
      <c r="D63" s="32"/>
      <c r="E63" s="33" t="s">
        <v>31</v>
      </c>
      <c r="F63" s="34"/>
      <c r="G63" s="34"/>
      <c r="H63" s="34"/>
      <c r="I63" s="34"/>
      <c r="J63" s="34"/>
      <c r="K63" s="35"/>
      <c r="L63" s="19"/>
      <c r="M63" s="24"/>
      <c r="P63" s="25"/>
    </row>
    <row r="64" spans="3:16" s="17" customFormat="1" ht="12.75" x14ac:dyDescent="0.2">
      <c r="C64" s="18"/>
      <c r="D64" s="20" t="s">
        <v>124</v>
      </c>
      <c r="E64" s="21" t="s">
        <v>47</v>
      </c>
      <c r="F64" s="22" t="s">
        <v>125</v>
      </c>
      <c r="G64" s="23">
        <f t="shared" si="0"/>
        <v>4.2346000000000004</v>
      </c>
      <c r="H64" s="23">
        <f>H66+H67+H68</f>
        <v>0</v>
      </c>
      <c r="I64" s="23">
        <f>I65+I67+I68</f>
        <v>0</v>
      </c>
      <c r="J64" s="23">
        <f>J65+J66+J68</f>
        <v>1.0163040000000001</v>
      </c>
      <c r="K64" s="23">
        <f>K65+K66+K67</f>
        <v>3.2182960000000005</v>
      </c>
      <c r="L64" s="19"/>
      <c r="M64" s="24"/>
      <c r="P64" s="25">
        <v>340</v>
      </c>
    </row>
    <row r="65" spans="3:16" s="17" customFormat="1" ht="12.75" x14ac:dyDescent="0.2">
      <c r="C65" s="18"/>
      <c r="D65" s="20" t="s">
        <v>126</v>
      </c>
      <c r="E65" s="26" t="s">
        <v>18</v>
      </c>
      <c r="F65" s="22" t="s">
        <v>127</v>
      </c>
      <c r="G65" s="23">
        <f t="shared" si="0"/>
        <v>1.0163040000000001</v>
      </c>
      <c r="H65" s="45"/>
      <c r="I65" s="27"/>
      <c r="J65" s="27">
        <f>H62</f>
        <v>1.0163040000000001</v>
      </c>
      <c r="K65" s="27"/>
      <c r="L65" s="19"/>
      <c r="M65" s="24"/>
      <c r="P65" s="25">
        <v>350</v>
      </c>
    </row>
    <row r="66" spans="3:16" s="17" customFormat="1" ht="12.75" x14ac:dyDescent="0.2">
      <c r="C66" s="18"/>
      <c r="D66" s="20" t="s">
        <v>128</v>
      </c>
      <c r="E66" s="26" t="s">
        <v>19</v>
      </c>
      <c r="F66" s="22" t="s">
        <v>129</v>
      </c>
      <c r="G66" s="23">
        <f t="shared" si="0"/>
        <v>0</v>
      </c>
      <c r="H66" s="27"/>
      <c r="I66" s="54"/>
      <c r="J66" s="27"/>
      <c r="K66" s="27"/>
      <c r="L66" s="19"/>
      <c r="M66" s="24"/>
      <c r="P66" s="25">
        <v>360</v>
      </c>
    </row>
    <row r="67" spans="3:16" s="17" customFormat="1" ht="12.75" x14ac:dyDescent="0.2">
      <c r="C67" s="18"/>
      <c r="D67" s="20" t="s">
        <v>130</v>
      </c>
      <c r="E67" s="26" t="s">
        <v>20</v>
      </c>
      <c r="F67" s="22" t="s">
        <v>131</v>
      </c>
      <c r="G67" s="23">
        <f t="shared" si="0"/>
        <v>3.2182960000000005</v>
      </c>
      <c r="H67" s="27"/>
      <c r="I67" s="27"/>
      <c r="J67" s="45"/>
      <c r="K67" s="27">
        <f>K73+K83</f>
        <v>3.2182960000000005</v>
      </c>
      <c r="L67" s="19"/>
      <c r="M67" s="24"/>
      <c r="P67" s="25">
        <v>370</v>
      </c>
    </row>
    <row r="68" spans="3:16" s="17" customFormat="1" ht="12.75" x14ac:dyDescent="0.2">
      <c r="C68" s="18"/>
      <c r="D68" s="20" t="s">
        <v>132</v>
      </c>
      <c r="E68" s="26" t="s">
        <v>56</v>
      </c>
      <c r="F68" s="22" t="s">
        <v>133</v>
      </c>
      <c r="G68" s="23">
        <f t="shared" si="0"/>
        <v>0</v>
      </c>
      <c r="H68" s="27"/>
      <c r="I68" s="27"/>
      <c r="J68" s="27"/>
      <c r="K68" s="45"/>
      <c r="L68" s="19"/>
      <c r="M68" s="24"/>
      <c r="P68" s="25">
        <v>380</v>
      </c>
    </row>
    <row r="69" spans="3:16" s="17" customFormat="1" ht="12.75" x14ac:dyDescent="0.2">
      <c r="C69" s="18"/>
      <c r="D69" s="20" t="s">
        <v>134</v>
      </c>
      <c r="E69" s="46" t="s">
        <v>59</v>
      </c>
      <c r="F69" s="22" t="s">
        <v>135</v>
      </c>
      <c r="G69" s="23">
        <f t="shared" si="0"/>
        <v>0</v>
      </c>
      <c r="H69" s="27"/>
      <c r="I69" s="27"/>
      <c r="J69" s="27"/>
      <c r="K69" s="27"/>
      <c r="L69" s="19"/>
      <c r="M69" s="24"/>
      <c r="P69" s="25"/>
    </row>
    <row r="70" spans="3:16" s="17" customFormat="1" ht="12.75" x14ac:dyDescent="0.2">
      <c r="C70" s="18"/>
      <c r="D70" s="20" t="s">
        <v>136</v>
      </c>
      <c r="E70" s="21" t="s">
        <v>62</v>
      </c>
      <c r="F70" s="47" t="s">
        <v>137</v>
      </c>
      <c r="G70" s="23">
        <f t="shared" si="0"/>
        <v>4.2346000000000004</v>
      </c>
      <c r="H70" s="23">
        <f>H71+H73+H76+H79</f>
        <v>0</v>
      </c>
      <c r="I70" s="23">
        <f>I71+I73+I76+I79</f>
        <v>0</v>
      </c>
      <c r="J70" s="23">
        <f>J71+J73+J76+J79</f>
        <v>1.0163040000000001</v>
      </c>
      <c r="K70" s="23">
        <f>K71+K73+K76+K79</f>
        <v>3.2182960000000005</v>
      </c>
      <c r="L70" s="19"/>
      <c r="M70" s="24"/>
      <c r="P70" s="25">
        <v>390</v>
      </c>
    </row>
    <row r="71" spans="3:16" s="17" customFormat="1" ht="22.5" x14ac:dyDescent="0.2">
      <c r="C71" s="18"/>
      <c r="D71" s="20" t="s">
        <v>138</v>
      </c>
      <c r="E71" s="26" t="s">
        <v>65</v>
      </c>
      <c r="F71" s="22" t="s">
        <v>139</v>
      </c>
      <c r="G71" s="23">
        <f t="shared" si="0"/>
        <v>0</v>
      </c>
      <c r="H71" s="27"/>
      <c r="I71" s="27"/>
      <c r="J71" s="27"/>
      <c r="K71" s="27"/>
      <c r="L71" s="19"/>
      <c r="M71" s="24"/>
      <c r="P71" s="25"/>
    </row>
    <row r="72" spans="3:16" s="17" customFormat="1" ht="12.75" x14ac:dyDescent="0.2">
      <c r="C72" s="18"/>
      <c r="D72" s="20" t="s">
        <v>140</v>
      </c>
      <c r="E72" s="48" t="s">
        <v>68</v>
      </c>
      <c r="F72" s="22" t="s">
        <v>141</v>
      </c>
      <c r="G72" s="23">
        <f t="shared" si="0"/>
        <v>0</v>
      </c>
      <c r="H72" s="27"/>
      <c r="I72" s="27"/>
      <c r="J72" s="27"/>
      <c r="K72" s="27"/>
      <c r="L72" s="19"/>
      <c r="M72" s="24"/>
      <c r="P72" s="25"/>
    </row>
    <row r="73" spans="3:16" s="17" customFormat="1" ht="12.75" x14ac:dyDescent="0.2">
      <c r="C73" s="18"/>
      <c r="D73" s="20" t="s">
        <v>142</v>
      </c>
      <c r="E73" s="26" t="s">
        <v>71</v>
      </c>
      <c r="F73" s="22" t="s">
        <v>143</v>
      </c>
      <c r="G73" s="23">
        <f t="shared" si="0"/>
        <v>4.2346000000000004</v>
      </c>
      <c r="H73" s="27">
        <v>0</v>
      </c>
      <c r="I73" s="27">
        <v>0</v>
      </c>
      <c r="J73" s="27">
        <f>4.2346*0.24</f>
        <v>1.0163040000000001</v>
      </c>
      <c r="K73" s="27">
        <f>4.2346-J73</f>
        <v>3.2182960000000005</v>
      </c>
      <c r="L73" s="19"/>
      <c r="M73" s="24"/>
      <c r="P73" s="25"/>
    </row>
    <row r="74" spans="3:16" s="17" customFormat="1" ht="12.75" x14ac:dyDescent="0.2">
      <c r="C74" s="18"/>
      <c r="D74" s="20" t="s">
        <v>144</v>
      </c>
      <c r="E74" s="48" t="s">
        <v>74</v>
      </c>
      <c r="F74" s="22" t="s">
        <v>145</v>
      </c>
      <c r="G74" s="23">
        <f t="shared" si="0"/>
        <v>0</v>
      </c>
      <c r="H74" s="27"/>
      <c r="I74" s="27"/>
      <c r="J74" s="27"/>
      <c r="K74" s="27"/>
      <c r="L74" s="19"/>
      <c r="M74" s="24"/>
      <c r="P74" s="25"/>
    </row>
    <row r="75" spans="3:16" s="17" customFormat="1" ht="12.75" x14ac:dyDescent="0.2">
      <c r="C75" s="18"/>
      <c r="D75" s="20" t="s">
        <v>146</v>
      </c>
      <c r="E75" s="49" t="s">
        <v>68</v>
      </c>
      <c r="F75" s="22" t="s">
        <v>147</v>
      </c>
      <c r="G75" s="23">
        <f t="shared" si="0"/>
        <v>0</v>
      </c>
      <c r="H75" s="27"/>
      <c r="I75" s="27"/>
      <c r="J75" s="27"/>
      <c r="K75" s="27"/>
      <c r="L75" s="19"/>
      <c r="M75" s="24"/>
      <c r="P75" s="25"/>
    </row>
    <row r="76" spans="3:16" s="17" customFormat="1" ht="12.75" x14ac:dyDescent="0.2">
      <c r="C76" s="18"/>
      <c r="D76" s="20" t="s">
        <v>148</v>
      </c>
      <c r="E76" s="26" t="s">
        <v>79</v>
      </c>
      <c r="F76" s="22" t="s">
        <v>149</v>
      </c>
      <c r="G76" s="23">
        <f t="shared" si="0"/>
        <v>0</v>
      </c>
      <c r="H76" s="23">
        <f>SUM(H77:H78)</f>
        <v>0</v>
      </c>
      <c r="I76" s="23">
        <f>SUM(I77:I78)</f>
        <v>0</v>
      </c>
      <c r="J76" s="23">
        <f>SUM(J77:J78)</f>
        <v>0</v>
      </c>
      <c r="K76" s="23">
        <f>SUM(K77:K78)</f>
        <v>0</v>
      </c>
      <c r="L76" s="19"/>
      <c r="M76" s="24"/>
      <c r="P76" s="25"/>
    </row>
    <row r="77" spans="3:16" s="17" customFormat="1" ht="12.75" x14ac:dyDescent="0.2">
      <c r="C77" s="18"/>
      <c r="D77" s="28" t="s">
        <v>150</v>
      </c>
      <c r="E77" s="29"/>
      <c r="F77" s="30" t="s">
        <v>149</v>
      </c>
      <c r="G77" s="31"/>
      <c r="H77" s="31"/>
      <c r="I77" s="31"/>
      <c r="J77" s="31"/>
      <c r="K77" s="31"/>
      <c r="L77" s="19"/>
      <c r="M77" s="24"/>
      <c r="P77" s="25"/>
    </row>
    <row r="78" spans="3:16" s="17" customFormat="1" ht="12.75" x14ac:dyDescent="0.2">
      <c r="C78" s="18"/>
      <c r="D78" s="32"/>
      <c r="E78" s="33" t="s">
        <v>31</v>
      </c>
      <c r="F78" s="34"/>
      <c r="G78" s="34"/>
      <c r="H78" s="34"/>
      <c r="I78" s="34"/>
      <c r="J78" s="34"/>
      <c r="K78" s="35"/>
      <c r="L78" s="19"/>
      <c r="M78" s="24"/>
      <c r="P78" s="25"/>
    </row>
    <row r="79" spans="3:16" s="17" customFormat="1" ht="12.75" x14ac:dyDescent="0.2">
      <c r="C79" s="18"/>
      <c r="D79" s="20" t="s">
        <v>151</v>
      </c>
      <c r="E79" s="51" t="s">
        <v>83</v>
      </c>
      <c r="F79" s="22" t="s">
        <v>152</v>
      </c>
      <c r="G79" s="23">
        <f t="shared" si="0"/>
        <v>0</v>
      </c>
      <c r="H79" s="27"/>
      <c r="I79" s="27"/>
      <c r="J79" s="27"/>
      <c r="K79" s="27"/>
      <c r="L79" s="19"/>
      <c r="M79" s="24"/>
      <c r="P79" s="25">
        <v>410</v>
      </c>
    </row>
    <row r="80" spans="3:16" s="17" customFormat="1" ht="12.75" x14ac:dyDescent="0.2">
      <c r="C80" s="18"/>
      <c r="D80" s="20" t="s">
        <v>153</v>
      </c>
      <c r="E80" s="21" t="s">
        <v>86</v>
      </c>
      <c r="F80" s="22" t="s">
        <v>154</v>
      </c>
      <c r="G80" s="23">
        <f t="shared" si="0"/>
        <v>4.2346000000000004</v>
      </c>
      <c r="H80" s="27">
        <f>H62</f>
        <v>1.0163040000000001</v>
      </c>
      <c r="I80" s="27"/>
      <c r="J80" s="27">
        <f>K67</f>
        <v>3.2182960000000005</v>
      </c>
      <c r="K80" s="27"/>
      <c r="L80" s="19"/>
      <c r="M80" s="24"/>
      <c r="P80" s="25">
        <v>440</v>
      </c>
    </row>
    <row r="81" spans="3:16" s="17" customFormat="1" ht="12.75" x14ac:dyDescent="0.2">
      <c r="C81" s="18"/>
      <c r="D81" s="20" t="s">
        <v>155</v>
      </c>
      <c r="E81" s="21" t="s">
        <v>89</v>
      </c>
      <c r="F81" s="22" t="s">
        <v>156</v>
      </c>
      <c r="G81" s="23">
        <f t="shared" si="0"/>
        <v>0</v>
      </c>
      <c r="H81" s="27"/>
      <c r="I81" s="27"/>
      <c r="J81" s="27"/>
      <c r="K81" s="27"/>
      <c r="L81" s="19"/>
      <c r="M81" s="24"/>
      <c r="P81" s="25">
        <v>450</v>
      </c>
    </row>
    <row r="82" spans="3:16" s="17" customFormat="1" ht="12.75" x14ac:dyDescent="0.2">
      <c r="C82" s="18"/>
      <c r="D82" s="20" t="s">
        <v>157</v>
      </c>
      <c r="E82" s="21" t="s">
        <v>92</v>
      </c>
      <c r="F82" s="22" t="s">
        <v>158</v>
      </c>
      <c r="G82" s="23">
        <f t="shared" si="0"/>
        <v>0</v>
      </c>
      <c r="H82" s="27"/>
      <c r="I82" s="27"/>
      <c r="J82" s="27"/>
      <c r="K82" s="27"/>
      <c r="L82" s="19"/>
      <c r="M82" s="24"/>
      <c r="P82" s="25">
        <v>470</v>
      </c>
    </row>
    <row r="83" spans="3:16" s="17" customFormat="1" ht="12.75" x14ac:dyDescent="0.2">
      <c r="C83" s="18"/>
      <c r="D83" s="20" t="s">
        <v>159</v>
      </c>
      <c r="E83" s="21" t="s">
        <v>95</v>
      </c>
      <c r="F83" s="22" t="s">
        <v>160</v>
      </c>
      <c r="G83" s="23">
        <f t="shared" si="0"/>
        <v>0</v>
      </c>
      <c r="H83" s="27"/>
      <c r="I83" s="27"/>
      <c r="J83" s="27"/>
      <c r="K83" s="27">
        <f>G62-G73</f>
        <v>0</v>
      </c>
      <c r="L83" s="19"/>
      <c r="M83" s="24"/>
      <c r="P83" s="25">
        <v>480</v>
      </c>
    </row>
    <row r="84" spans="3:16" s="17" customFormat="1" ht="12.75" x14ac:dyDescent="0.2">
      <c r="C84" s="18"/>
      <c r="D84" s="20" t="s">
        <v>161</v>
      </c>
      <c r="E84" s="26" t="s">
        <v>162</v>
      </c>
      <c r="F84" s="22" t="s">
        <v>163</v>
      </c>
      <c r="G84" s="23">
        <f t="shared" si="0"/>
        <v>0</v>
      </c>
      <c r="H84" s="27"/>
      <c r="I84" s="27"/>
      <c r="J84" s="27"/>
      <c r="K84" s="27"/>
      <c r="L84" s="19"/>
      <c r="M84" s="24"/>
      <c r="P84" s="25">
        <v>490</v>
      </c>
    </row>
    <row r="85" spans="3:16" s="17" customFormat="1" ht="12.75" x14ac:dyDescent="0.2">
      <c r="C85" s="18"/>
      <c r="D85" s="20" t="s">
        <v>164</v>
      </c>
      <c r="E85" s="21" t="s">
        <v>101</v>
      </c>
      <c r="F85" s="22" t="s">
        <v>165</v>
      </c>
      <c r="G85" s="23">
        <f t="shared" si="0"/>
        <v>0.13719999999999999</v>
      </c>
      <c r="H85" s="27"/>
      <c r="I85" s="27"/>
      <c r="J85" s="27"/>
      <c r="K85" s="27">
        <v>0.13719999999999999</v>
      </c>
      <c r="L85" s="19"/>
      <c r="M85" s="24"/>
      <c r="P85" s="25"/>
    </row>
    <row r="86" spans="3:16" s="17" customFormat="1" ht="22.5" x14ac:dyDescent="0.2">
      <c r="C86" s="18"/>
      <c r="D86" s="20" t="s">
        <v>166</v>
      </c>
      <c r="E86" s="46" t="s">
        <v>104</v>
      </c>
      <c r="F86" s="22" t="s">
        <v>167</v>
      </c>
      <c r="G86" s="23">
        <f t="shared" si="0"/>
        <v>-0.13719999999999999</v>
      </c>
      <c r="H86" s="23">
        <f>H83-H85</f>
        <v>0</v>
      </c>
      <c r="I86" s="23">
        <f>I83-I85</f>
        <v>0</v>
      </c>
      <c r="J86" s="23">
        <f>J83-J85</f>
        <v>0</v>
      </c>
      <c r="K86" s="23">
        <f>K83-K85</f>
        <v>-0.13719999999999999</v>
      </c>
      <c r="L86" s="19"/>
      <c r="M86" s="24"/>
      <c r="P86" s="25"/>
    </row>
    <row r="87" spans="3:16" s="17" customFormat="1" ht="12.75" x14ac:dyDescent="0.2">
      <c r="C87" s="18"/>
      <c r="D87" s="20" t="s">
        <v>168</v>
      </c>
      <c r="E87" s="21" t="s">
        <v>107</v>
      </c>
      <c r="F87" s="22" t="s">
        <v>169</v>
      </c>
      <c r="G87" s="23">
        <f t="shared" si="0"/>
        <v>0</v>
      </c>
      <c r="H87" s="23">
        <f>(H52+H64+H69)-(H70+H80+H81+H82+H83)</f>
        <v>0</v>
      </c>
      <c r="I87" s="23">
        <f>(I52+I64+I69)-(I70+I80+I81+I82+I83)</f>
        <v>0</v>
      </c>
      <c r="J87" s="23">
        <f>(J52+J64+J69)-(J70+J80+J81+J82+J83)</f>
        <v>0</v>
      </c>
      <c r="K87" s="23">
        <f>(K52+K64+K69)-(K70+K80+K81+K82+K83)</f>
        <v>0</v>
      </c>
      <c r="L87" s="19"/>
      <c r="M87" s="24"/>
      <c r="P87" s="25">
        <v>500</v>
      </c>
    </row>
    <row r="88" spans="3:16" s="17" customFormat="1" ht="12.75" x14ac:dyDescent="0.2">
      <c r="C88" s="18"/>
      <c r="D88" s="87" t="s">
        <v>170</v>
      </c>
      <c r="E88" s="88"/>
      <c r="F88" s="88"/>
      <c r="G88" s="88"/>
      <c r="H88" s="88"/>
      <c r="I88" s="88"/>
      <c r="J88" s="88"/>
      <c r="K88" s="89"/>
      <c r="L88" s="19"/>
      <c r="M88" s="24"/>
      <c r="P88" s="36"/>
    </row>
    <row r="89" spans="3:16" s="17" customFormat="1" ht="12.75" x14ac:dyDescent="0.2">
      <c r="C89" s="18"/>
      <c r="D89" s="20" t="s">
        <v>171</v>
      </c>
      <c r="E89" s="21" t="s">
        <v>172</v>
      </c>
      <c r="F89" s="22" t="s">
        <v>173</v>
      </c>
      <c r="G89" s="23">
        <f t="shared" si="0"/>
        <v>4.2346000000000004</v>
      </c>
      <c r="H89" s="27"/>
      <c r="I89" s="27"/>
      <c r="J89" s="42">
        <f>J73</f>
        <v>1.0163040000000001</v>
      </c>
      <c r="K89" s="42">
        <f>K73</f>
        <v>3.2182960000000005</v>
      </c>
      <c r="L89" s="19"/>
      <c r="M89" s="24"/>
      <c r="P89" s="25">
        <v>600</v>
      </c>
    </row>
    <row r="90" spans="3:16" s="17" customFormat="1" ht="12.75" x14ac:dyDescent="0.2">
      <c r="C90" s="18"/>
      <c r="D90" s="20" t="s">
        <v>174</v>
      </c>
      <c r="E90" s="21" t="s">
        <v>175</v>
      </c>
      <c r="F90" s="22" t="s">
        <v>176</v>
      </c>
      <c r="G90" s="23">
        <f t="shared" si="0"/>
        <v>0</v>
      </c>
      <c r="H90" s="27"/>
      <c r="I90" s="27"/>
      <c r="J90" s="27"/>
      <c r="K90" s="27"/>
      <c r="L90" s="19"/>
      <c r="M90" s="24"/>
      <c r="P90" s="25">
        <v>610</v>
      </c>
    </row>
    <row r="91" spans="3:16" s="17" customFormat="1" ht="12.75" x14ac:dyDescent="0.2">
      <c r="C91" s="18"/>
      <c r="D91" s="20" t="s">
        <v>177</v>
      </c>
      <c r="E91" s="21" t="s">
        <v>178</v>
      </c>
      <c r="F91" s="22" t="s">
        <v>179</v>
      </c>
      <c r="G91" s="23">
        <f t="shared" si="0"/>
        <v>0</v>
      </c>
      <c r="H91" s="27"/>
      <c r="I91" s="27"/>
      <c r="J91" s="27"/>
      <c r="K91" s="27"/>
      <c r="L91" s="19"/>
      <c r="M91" s="24"/>
      <c r="P91" s="25">
        <v>620</v>
      </c>
    </row>
    <row r="92" spans="3:16" s="17" customFormat="1" ht="12.75" x14ac:dyDescent="0.2">
      <c r="C92" s="18"/>
      <c r="D92" s="87" t="s">
        <v>180</v>
      </c>
      <c r="E92" s="88"/>
      <c r="F92" s="88"/>
      <c r="G92" s="88"/>
      <c r="H92" s="88"/>
      <c r="I92" s="88"/>
      <c r="J92" s="88"/>
      <c r="K92" s="89"/>
      <c r="L92" s="19"/>
      <c r="M92" s="24"/>
      <c r="P92" s="36"/>
    </row>
    <row r="93" spans="3:16" s="17" customFormat="1" ht="12.75" x14ac:dyDescent="0.2">
      <c r="C93" s="18"/>
      <c r="D93" s="20" t="s">
        <v>181</v>
      </c>
      <c r="E93" s="21" t="s">
        <v>182</v>
      </c>
      <c r="F93" s="22" t="s">
        <v>183</v>
      </c>
      <c r="G93" s="23">
        <f t="shared" si="0"/>
        <v>0</v>
      </c>
      <c r="H93" s="23">
        <f>SUM(H94:H95)</f>
        <v>0</v>
      </c>
      <c r="I93" s="23">
        <f>SUM(I94:I95)</f>
        <v>0</v>
      </c>
      <c r="J93" s="23">
        <f>SUM(J94:J95)</f>
        <v>0</v>
      </c>
      <c r="K93" s="23">
        <f>SUM(K94:K95)</f>
        <v>0</v>
      </c>
      <c r="L93" s="19"/>
      <c r="M93" s="24"/>
      <c r="P93" s="25">
        <v>700</v>
      </c>
    </row>
    <row r="94" spans="3:16" ht="12.75" x14ac:dyDescent="0.2">
      <c r="C94" s="6"/>
      <c r="D94" s="55" t="s">
        <v>184</v>
      </c>
      <c r="E94" s="26" t="s">
        <v>185</v>
      </c>
      <c r="F94" s="22" t="s">
        <v>186</v>
      </c>
      <c r="G94" s="23">
        <f t="shared" si="0"/>
        <v>0</v>
      </c>
      <c r="H94" s="56"/>
      <c r="I94" s="56"/>
      <c r="J94" s="56"/>
      <c r="K94" s="56"/>
      <c r="L94" s="13"/>
      <c r="M94" s="24"/>
      <c r="P94" s="25">
        <v>710</v>
      </c>
    </row>
    <row r="95" spans="3:16" ht="12.75" x14ac:dyDescent="0.2">
      <c r="C95" s="6"/>
      <c r="D95" s="55" t="s">
        <v>187</v>
      </c>
      <c r="E95" s="26" t="s">
        <v>188</v>
      </c>
      <c r="F95" s="22" t="s">
        <v>189</v>
      </c>
      <c r="G95" s="23">
        <f t="shared" si="0"/>
        <v>0</v>
      </c>
      <c r="H95" s="57">
        <f>H98</f>
        <v>0</v>
      </c>
      <c r="I95" s="57">
        <f>I98</f>
        <v>0</v>
      </c>
      <c r="J95" s="57">
        <f>J98</f>
        <v>0</v>
      </c>
      <c r="K95" s="57">
        <f>K98</f>
        <v>0</v>
      </c>
      <c r="L95" s="13"/>
      <c r="M95" s="24"/>
      <c r="P95" s="25">
        <v>720</v>
      </c>
    </row>
    <row r="96" spans="3:16" ht="12.75" x14ac:dyDescent="0.2">
      <c r="C96" s="6"/>
      <c r="D96" s="55" t="s">
        <v>190</v>
      </c>
      <c r="E96" s="48" t="s">
        <v>191</v>
      </c>
      <c r="F96" s="22" t="s">
        <v>192</v>
      </c>
      <c r="G96" s="23">
        <f t="shared" si="0"/>
        <v>0</v>
      </c>
      <c r="H96" s="56"/>
      <c r="I96" s="56"/>
      <c r="J96" s="56"/>
      <c r="K96" s="56"/>
      <c r="L96" s="13"/>
      <c r="M96" s="24"/>
      <c r="P96" s="25">
        <v>730</v>
      </c>
    </row>
    <row r="97" spans="3:16" ht="12.75" x14ac:dyDescent="0.2">
      <c r="C97" s="6"/>
      <c r="D97" s="55" t="s">
        <v>193</v>
      </c>
      <c r="E97" s="49" t="s">
        <v>194</v>
      </c>
      <c r="F97" s="22" t="s">
        <v>195</v>
      </c>
      <c r="G97" s="23">
        <f t="shared" si="0"/>
        <v>0</v>
      </c>
      <c r="H97" s="56"/>
      <c r="I97" s="56"/>
      <c r="J97" s="56"/>
      <c r="K97" s="56"/>
      <c r="L97" s="13"/>
      <c r="M97" s="24"/>
      <c r="P97" s="25"/>
    </row>
    <row r="98" spans="3:16" ht="12.75" x14ac:dyDescent="0.2">
      <c r="C98" s="6"/>
      <c r="D98" s="55" t="s">
        <v>196</v>
      </c>
      <c r="E98" s="48" t="s">
        <v>197</v>
      </c>
      <c r="F98" s="22" t="s">
        <v>198</v>
      </c>
      <c r="G98" s="23">
        <f t="shared" si="0"/>
        <v>0</v>
      </c>
      <c r="H98" s="56"/>
      <c r="I98" s="56"/>
      <c r="J98" s="56"/>
      <c r="K98" s="56"/>
      <c r="L98" s="13"/>
      <c r="M98" s="24"/>
      <c r="P98" s="25">
        <v>740</v>
      </c>
    </row>
    <row r="99" spans="3:16" ht="12.75" x14ac:dyDescent="0.2">
      <c r="C99" s="6"/>
      <c r="D99" s="55" t="s">
        <v>199</v>
      </c>
      <c r="E99" s="21" t="s">
        <v>200</v>
      </c>
      <c r="F99" s="22" t="s">
        <v>201</v>
      </c>
      <c r="G99" s="23">
        <f t="shared" si="0"/>
        <v>0</v>
      </c>
      <c r="H99" s="57">
        <f>H100+H116</f>
        <v>0</v>
      </c>
      <c r="I99" s="57">
        <f>I100+I116</f>
        <v>0</v>
      </c>
      <c r="J99" s="57">
        <f>J100+J116</f>
        <v>0</v>
      </c>
      <c r="K99" s="57">
        <f>K100+K116</f>
        <v>0</v>
      </c>
      <c r="L99" s="13"/>
      <c r="M99" s="24"/>
      <c r="P99" s="25">
        <v>750</v>
      </c>
    </row>
    <row r="100" spans="3:16" ht="12.75" x14ac:dyDescent="0.2">
      <c r="C100" s="6"/>
      <c r="D100" s="55" t="s">
        <v>202</v>
      </c>
      <c r="E100" s="26" t="s">
        <v>203</v>
      </c>
      <c r="F100" s="22" t="s">
        <v>204</v>
      </c>
      <c r="G100" s="23">
        <f t="shared" si="0"/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57">
        <f>K101+K102</f>
        <v>0</v>
      </c>
      <c r="L100" s="13"/>
      <c r="M100" s="24"/>
      <c r="P100" s="25">
        <v>760</v>
      </c>
    </row>
    <row r="101" spans="3:16" ht="12.75" x14ac:dyDescent="0.2">
      <c r="C101" s="6"/>
      <c r="D101" s="55" t="s">
        <v>205</v>
      </c>
      <c r="E101" s="48" t="s">
        <v>206</v>
      </c>
      <c r="F101" s="22" t="s">
        <v>207</v>
      </c>
      <c r="G101" s="23">
        <f t="shared" si="0"/>
        <v>0</v>
      </c>
      <c r="H101" s="56"/>
      <c r="I101" s="56"/>
      <c r="J101" s="56"/>
      <c r="K101" s="56"/>
      <c r="L101" s="13"/>
      <c r="M101" s="24"/>
      <c r="P101" s="25"/>
    </row>
    <row r="102" spans="3:16" ht="12.75" x14ac:dyDescent="0.2">
      <c r="C102" s="6"/>
      <c r="D102" s="55" t="s">
        <v>208</v>
      </c>
      <c r="E102" s="48" t="s">
        <v>209</v>
      </c>
      <c r="F102" s="22" t="s">
        <v>210</v>
      </c>
      <c r="G102" s="23">
        <f t="shared" si="0"/>
        <v>0</v>
      </c>
      <c r="H102" s="57">
        <f>H103+H106+H109+H112+H113+H114+H115</f>
        <v>0</v>
      </c>
      <c r="I102" s="57">
        <f>I103+I106+I109+I112+I113+I114+I115</f>
        <v>0</v>
      </c>
      <c r="J102" s="57">
        <f>J103+J106+J109+J112+J113+J114+J115</f>
        <v>0</v>
      </c>
      <c r="K102" s="57">
        <f>K103+K106+K109+K112+K113+K114+K115</f>
        <v>0</v>
      </c>
      <c r="L102" s="13"/>
      <c r="M102" s="24"/>
      <c r="P102" s="25"/>
    </row>
    <row r="103" spans="3:16" ht="33.75" x14ac:dyDescent="0.2">
      <c r="C103" s="6"/>
      <c r="D103" s="55" t="s">
        <v>211</v>
      </c>
      <c r="E103" s="49" t="s">
        <v>212</v>
      </c>
      <c r="F103" s="22" t="s">
        <v>213</v>
      </c>
      <c r="G103" s="23">
        <f t="shared" si="0"/>
        <v>0</v>
      </c>
      <c r="H103" s="58">
        <f>H104+H105</f>
        <v>0</v>
      </c>
      <c r="I103" s="58">
        <f>I104+I105</f>
        <v>0</v>
      </c>
      <c r="J103" s="58">
        <f>J104+J105</f>
        <v>0</v>
      </c>
      <c r="K103" s="58">
        <f>K104+K105</f>
        <v>0</v>
      </c>
      <c r="L103" s="13"/>
      <c r="M103" s="24"/>
      <c r="P103" s="25"/>
    </row>
    <row r="104" spans="3:16" ht="12.75" x14ac:dyDescent="0.2">
      <c r="C104" s="6"/>
      <c r="D104" s="55" t="s">
        <v>214</v>
      </c>
      <c r="E104" s="59" t="s">
        <v>215</v>
      </c>
      <c r="F104" s="22" t="s">
        <v>216</v>
      </c>
      <c r="G104" s="23">
        <f t="shared" si="0"/>
        <v>0</v>
      </c>
      <c r="H104" s="56"/>
      <c r="I104" s="56"/>
      <c r="J104" s="56"/>
      <c r="K104" s="56"/>
      <c r="L104" s="13"/>
      <c r="M104" s="24"/>
      <c r="P104" s="25"/>
    </row>
    <row r="105" spans="3:16" ht="12.75" x14ac:dyDescent="0.2">
      <c r="C105" s="6"/>
      <c r="D105" s="55" t="s">
        <v>217</v>
      </c>
      <c r="E105" s="59" t="s">
        <v>218</v>
      </c>
      <c r="F105" s="22" t="s">
        <v>219</v>
      </c>
      <c r="G105" s="23">
        <f t="shared" si="0"/>
        <v>0</v>
      </c>
      <c r="H105" s="56"/>
      <c r="I105" s="56"/>
      <c r="J105" s="56"/>
      <c r="K105" s="56"/>
      <c r="L105" s="13"/>
      <c r="M105" s="24"/>
      <c r="P105" s="25"/>
    </row>
    <row r="106" spans="3:16" ht="33.75" x14ac:dyDescent="0.2">
      <c r="C106" s="6"/>
      <c r="D106" s="55" t="s">
        <v>220</v>
      </c>
      <c r="E106" s="49" t="s">
        <v>221</v>
      </c>
      <c r="F106" s="22" t="s">
        <v>222</v>
      </c>
      <c r="G106" s="23">
        <f t="shared" si="0"/>
        <v>0</v>
      </c>
      <c r="H106" s="58">
        <f>H107+H108</f>
        <v>0</v>
      </c>
      <c r="I106" s="58">
        <f>I107+I108</f>
        <v>0</v>
      </c>
      <c r="J106" s="58">
        <f>J107+J108</f>
        <v>0</v>
      </c>
      <c r="K106" s="58">
        <f>K107+K108</f>
        <v>0</v>
      </c>
      <c r="L106" s="13"/>
      <c r="M106" s="24"/>
      <c r="P106" s="25"/>
    </row>
    <row r="107" spans="3:16" ht="12.75" x14ac:dyDescent="0.2">
      <c r="C107" s="6"/>
      <c r="D107" s="55" t="s">
        <v>223</v>
      </c>
      <c r="E107" s="59" t="s">
        <v>215</v>
      </c>
      <c r="F107" s="22" t="s">
        <v>224</v>
      </c>
      <c r="G107" s="23">
        <f t="shared" si="0"/>
        <v>0</v>
      </c>
      <c r="H107" s="56"/>
      <c r="I107" s="56"/>
      <c r="J107" s="56"/>
      <c r="K107" s="56"/>
      <c r="L107" s="13"/>
      <c r="M107" s="24"/>
      <c r="P107" s="25"/>
    </row>
    <row r="108" spans="3:16" ht="12.75" x14ac:dyDescent="0.2">
      <c r="C108" s="6"/>
      <c r="D108" s="55" t="s">
        <v>225</v>
      </c>
      <c r="E108" s="59" t="s">
        <v>218</v>
      </c>
      <c r="F108" s="22" t="s">
        <v>226</v>
      </c>
      <c r="G108" s="23">
        <f t="shared" si="0"/>
        <v>0</v>
      </c>
      <c r="H108" s="56"/>
      <c r="I108" s="56"/>
      <c r="J108" s="56"/>
      <c r="K108" s="56"/>
      <c r="L108" s="13"/>
      <c r="M108" s="24"/>
      <c r="P108" s="25"/>
    </row>
    <row r="109" spans="3:16" ht="22.5" x14ac:dyDescent="0.2">
      <c r="C109" s="6"/>
      <c r="D109" s="55" t="s">
        <v>227</v>
      </c>
      <c r="E109" s="49" t="s">
        <v>228</v>
      </c>
      <c r="F109" s="22" t="s">
        <v>229</v>
      </c>
      <c r="G109" s="23">
        <f t="shared" si="0"/>
        <v>0</v>
      </c>
      <c r="H109" s="58">
        <f>H110+H111</f>
        <v>0</v>
      </c>
      <c r="I109" s="58">
        <f>I110+I111</f>
        <v>0</v>
      </c>
      <c r="J109" s="58">
        <f>J110+J111</f>
        <v>0</v>
      </c>
      <c r="K109" s="58">
        <f>K110+K111</f>
        <v>0</v>
      </c>
      <c r="L109" s="13"/>
      <c r="M109" s="24"/>
      <c r="P109" s="25"/>
    </row>
    <row r="110" spans="3:16" ht="12.75" x14ac:dyDescent="0.2">
      <c r="C110" s="6"/>
      <c r="D110" s="55" t="s">
        <v>230</v>
      </c>
      <c r="E110" s="59" t="s">
        <v>215</v>
      </c>
      <c r="F110" s="22" t="s">
        <v>231</v>
      </c>
      <c r="G110" s="23">
        <f t="shared" si="0"/>
        <v>0</v>
      </c>
      <c r="H110" s="56"/>
      <c r="I110" s="56"/>
      <c r="J110" s="56"/>
      <c r="K110" s="56"/>
      <c r="L110" s="13"/>
      <c r="M110" s="24"/>
      <c r="P110" s="25"/>
    </row>
    <row r="111" spans="3:16" ht="12.75" x14ac:dyDescent="0.2">
      <c r="C111" s="6"/>
      <c r="D111" s="55" t="s">
        <v>232</v>
      </c>
      <c r="E111" s="59" t="s">
        <v>218</v>
      </c>
      <c r="F111" s="22" t="s">
        <v>233</v>
      </c>
      <c r="G111" s="23">
        <f t="shared" si="0"/>
        <v>0</v>
      </c>
      <c r="H111" s="56"/>
      <c r="I111" s="56"/>
      <c r="J111" s="56"/>
      <c r="K111" s="56"/>
      <c r="L111" s="13"/>
      <c r="M111" s="24"/>
      <c r="P111" s="25"/>
    </row>
    <row r="112" spans="3:16" ht="12.75" x14ac:dyDescent="0.2">
      <c r="C112" s="6"/>
      <c r="D112" s="55" t="s">
        <v>234</v>
      </c>
      <c r="E112" s="49" t="s">
        <v>235</v>
      </c>
      <c r="F112" s="22" t="s">
        <v>236</v>
      </c>
      <c r="G112" s="23">
        <f t="shared" si="0"/>
        <v>0</v>
      </c>
      <c r="H112" s="56"/>
      <c r="I112" s="56"/>
      <c r="J112" s="56"/>
      <c r="K112" s="56"/>
      <c r="L112" s="13"/>
      <c r="M112" s="24"/>
      <c r="P112" s="25"/>
    </row>
    <row r="113" spans="3:16" ht="12.75" x14ac:dyDescent="0.2">
      <c r="C113" s="6"/>
      <c r="D113" s="55" t="s">
        <v>237</v>
      </c>
      <c r="E113" s="49" t="s">
        <v>238</v>
      </c>
      <c r="F113" s="22" t="s">
        <v>239</v>
      </c>
      <c r="G113" s="23">
        <f t="shared" si="0"/>
        <v>0</v>
      </c>
      <c r="H113" s="56"/>
      <c r="I113" s="56"/>
      <c r="J113" s="56"/>
      <c r="K113" s="56"/>
      <c r="L113" s="13"/>
      <c r="M113" s="24"/>
      <c r="P113" s="25"/>
    </row>
    <row r="114" spans="3:16" ht="33.75" x14ac:dyDescent="0.2">
      <c r="C114" s="6"/>
      <c r="D114" s="55" t="s">
        <v>240</v>
      </c>
      <c r="E114" s="49" t="s">
        <v>241</v>
      </c>
      <c r="F114" s="22" t="s">
        <v>242</v>
      </c>
      <c r="G114" s="23">
        <f t="shared" si="0"/>
        <v>0</v>
      </c>
      <c r="H114" s="56"/>
      <c r="I114" s="56"/>
      <c r="J114" s="56"/>
      <c r="K114" s="56"/>
      <c r="L114" s="13"/>
      <c r="M114" s="24"/>
      <c r="P114" s="25"/>
    </row>
    <row r="115" spans="3:16" ht="22.5" x14ac:dyDescent="0.2">
      <c r="C115" s="6"/>
      <c r="D115" s="55" t="s">
        <v>243</v>
      </c>
      <c r="E115" s="49" t="s">
        <v>244</v>
      </c>
      <c r="F115" s="22" t="s">
        <v>245</v>
      </c>
      <c r="G115" s="23">
        <f t="shared" si="0"/>
        <v>0</v>
      </c>
      <c r="H115" s="56"/>
      <c r="I115" s="56"/>
      <c r="J115" s="56"/>
      <c r="K115" s="56"/>
      <c r="L115" s="13"/>
      <c r="M115" s="24"/>
      <c r="P115" s="25"/>
    </row>
    <row r="116" spans="3:16" ht="12.75" x14ac:dyDescent="0.2">
      <c r="C116" s="6"/>
      <c r="D116" s="55" t="s">
        <v>246</v>
      </c>
      <c r="E116" s="26" t="s">
        <v>247</v>
      </c>
      <c r="F116" s="22" t="s">
        <v>248</v>
      </c>
      <c r="G116" s="23">
        <f t="shared" si="0"/>
        <v>0</v>
      </c>
      <c r="H116" s="57">
        <f>H119</f>
        <v>0</v>
      </c>
      <c r="I116" s="57">
        <f>I119</f>
        <v>0</v>
      </c>
      <c r="J116" s="57">
        <f>J119</f>
        <v>0</v>
      </c>
      <c r="K116" s="57">
        <f>K119</f>
        <v>0</v>
      </c>
      <c r="L116" s="13"/>
      <c r="M116" s="24"/>
      <c r="P116" s="25">
        <v>770</v>
      </c>
    </row>
    <row r="117" spans="3:16" ht="12.75" x14ac:dyDescent="0.2">
      <c r="C117" s="6"/>
      <c r="D117" s="55" t="s">
        <v>249</v>
      </c>
      <c r="E117" s="48" t="s">
        <v>191</v>
      </c>
      <c r="F117" s="22" t="s">
        <v>250</v>
      </c>
      <c r="G117" s="23">
        <f t="shared" si="0"/>
        <v>0</v>
      </c>
      <c r="H117" s="56"/>
      <c r="I117" s="56"/>
      <c r="J117" s="56"/>
      <c r="K117" s="56"/>
      <c r="L117" s="13"/>
      <c r="M117" s="24"/>
      <c r="P117" s="25">
        <v>780</v>
      </c>
    </row>
    <row r="118" spans="3:16" ht="12.75" x14ac:dyDescent="0.2">
      <c r="C118" s="6"/>
      <c r="D118" s="55" t="s">
        <v>251</v>
      </c>
      <c r="E118" s="49" t="s">
        <v>252</v>
      </c>
      <c r="F118" s="22" t="s">
        <v>253</v>
      </c>
      <c r="G118" s="23">
        <f t="shared" si="0"/>
        <v>0</v>
      </c>
      <c r="H118" s="56"/>
      <c r="I118" s="56"/>
      <c r="J118" s="56"/>
      <c r="K118" s="56"/>
      <c r="L118" s="13"/>
      <c r="M118" s="24"/>
      <c r="P118" s="25"/>
    </row>
    <row r="119" spans="3:16" ht="12.75" x14ac:dyDescent="0.2">
      <c r="C119" s="6"/>
      <c r="D119" s="55" t="s">
        <v>254</v>
      </c>
      <c r="E119" s="48" t="s">
        <v>197</v>
      </c>
      <c r="F119" s="22" t="s">
        <v>255</v>
      </c>
      <c r="G119" s="23">
        <f t="shared" si="0"/>
        <v>0</v>
      </c>
      <c r="H119" s="56"/>
      <c r="I119" s="56"/>
      <c r="J119" s="56"/>
      <c r="K119" s="56"/>
      <c r="L119" s="13"/>
      <c r="M119" s="24"/>
      <c r="P119" s="25">
        <v>790</v>
      </c>
    </row>
    <row r="120" spans="3:16" ht="12.75" x14ac:dyDescent="0.2">
      <c r="C120" s="6"/>
      <c r="D120" s="55" t="s">
        <v>256</v>
      </c>
      <c r="E120" s="46" t="s">
        <v>257</v>
      </c>
      <c r="F120" s="22" t="s">
        <v>258</v>
      </c>
      <c r="G120" s="23">
        <f t="shared" si="0"/>
        <v>1596.307</v>
      </c>
      <c r="H120" s="57">
        <f>SUM(H121:H122)</f>
        <v>0</v>
      </c>
      <c r="I120" s="57">
        <f>SUM(I121:I122)</f>
        <v>0</v>
      </c>
      <c r="J120" s="57">
        <f>SUM(J121:J122)</f>
        <v>156.44</v>
      </c>
      <c r="K120" s="57">
        <f>SUM(K121:K122)</f>
        <v>1439.867</v>
      </c>
      <c r="L120" s="13"/>
      <c r="M120" s="24"/>
      <c r="P120" s="25"/>
    </row>
    <row r="121" spans="3:16" ht="12.75" x14ac:dyDescent="0.2">
      <c r="C121" s="6"/>
      <c r="D121" s="55" t="s">
        <v>259</v>
      </c>
      <c r="E121" s="26" t="s">
        <v>185</v>
      </c>
      <c r="F121" s="22" t="s">
        <v>260</v>
      </c>
      <c r="G121" s="23">
        <f t="shared" si="0"/>
        <v>1596.307</v>
      </c>
      <c r="H121" s="56"/>
      <c r="I121" s="56"/>
      <c r="J121" s="56">
        <f>J36</f>
        <v>156.44</v>
      </c>
      <c r="K121" s="56">
        <f>K36</f>
        <v>1439.867</v>
      </c>
      <c r="L121" s="13"/>
      <c r="M121" s="24"/>
      <c r="P121" s="25"/>
    </row>
    <row r="122" spans="3:16" ht="12.75" x14ac:dyDescent="0.2">
      <c r="C122" s="6"/>
      <c r="D122" s="55" t="s">
        <v>261</v>
      </c>
      <c r="E122" s="26" t="s">
        <v>188</v>
      </c>
      <c r="F122" s="22" t="s">
        <v>262</v>
      </c>
      <c r="G122" s="23">
        <f t="shared" si="0"/>
        <v>0</v>
      </c>
      <c r="H122" s="57">
        <f>H124</f>
        <v>0</v>
      </c>
      <c r="I122" s="57">
        <f>I124</f>
        <v>0</v>
      </c>
      <c r="J122" s="57">
        <f>J124</f>
        <v>0</v>
      </c>
      <c r="K122" s="57">
        <f>K124</f>
        <v>0</v>
      </c>
      <c r="L122" s="13"/>
      <c r="M122" s="24"/>
      <c r="P122" s="25"/>
    </row>
    <row r="123" spans="3:16" ht="12.75" x14ac:dyDescent="0.2">
      <c r="C123" s="6"/>
      <c r="D123" s="55" t="s">
        <v>263</v>
      </c>
      <c r="E123" s="48" t="s">
        <v>264</v>
      </c>
      <c r="F123" s="22" t="s">
        <v>265</v>
      </c>
      <c r="G123" s="23">
        <f t="shared" si="0"/>
        <v>0</v>
      </c>
      <c r="H123" s="56"/>
      <c r="I123" s="56"/>
      <c r="J123" s="56"/>
      <c r="K123" s="56"/>
      <c r="L123" s="13"/>
      <c r="M123" s="24"/>
      <c r="P123" s="25"/>
    </row>
    <row r="124" spans="3:16" ht="12.75" x14ac:dyDescent="0.2">
      <c r="C124" s="6"/>
      <c r="D124" s="55" t="s">
        <v>266</v>
      </c>
      <c r="E124" s="48" t="s">
        <v>197</v>
      </c>
      <c r="F124" s="22" t="s">
        <v>267</v>
      </c>
      <c r="G124" s="23">
        <f t="shared" si="0"/>
        <v>0</v>
      </c>
      <c r="H124" s="56"/>
      <c r="I124" s="56"/>
      <c r="J124" s="56"/>
      <c r="K124" s="56"/>
      <c r="L124" s="13"/>
      <c r="M124" s="24"/>
      <c r="P124" s="25"/>
    </row>
    <row r="125" spans="3:16" ht="12.75" x14ac:dyDescent="0.2">
      <c r="C125" s="6"/>
      <c r="D125" s="87" t="s">
        <v>268</v>
      </c>
      <c r="E125" s="88"/>
      <c r="F125" s="88"/>
      <c r="G125" s="88"/>
      <c r="H125" s="88"/>
      <c r="I125" s="88"/>
      <c r="J125" s="88"/>
      <c r="K125" s="89"/>
      <c r="L125" s="13"/>
      <c r="M125" s="24"/>
      <c r="P125" s="60"/>
    </row>
    <row r="126" spans="3:16" ht="22.5" x14ac:dyDescent="0.2">
      <c r="C126" s="6"/>
      <c r="D126" s="55" t="s">
        <v>269</v>
      </c>
      <c r="E126" s="21" t="s">
        <v>270</v>
      </c>
      <c r="F126" s="22" t="s">
        <v>271</v>
      </c>
      <c r="G126" s="23">
        <f t="shared" si="0"/>
        <v>0</v>
      </c>
      <c r="H126" s="57">
        <f>SUM( H127:H128)</f>
        <v>0</v>
      </c>
      <c r="I126" s="57">
        <f>SUM( I127:I128)</f>
        <v>0</v>
      </c>
      <c r="J126" s="57">
        <f>SUM( J127:J128)</f>
        <v>0</v>
      </c>
      <c r="K126" s="57">
        <f>SUM( K127:K128)</f>
        <v>0</v>
      </c>
      <c r="L126" s="13"/>
      <c r="M126" s="24"/>
      <c r="P126" s="25">
        <v>800</v>
      </c>
    </row>
    <row r="127" spans="3:16" ht="12.75" x14ac:dyDescent="0.2">
      <c r="C127" s="6"/>
      <c r="D127" s="55" t="s">
        <v>272</v>
      </c>
      <c r="E127" s="26" t="s">
        <v>185</v>
      </c>
      <c r="F127" s="22" t="s">
        <v>273</v>
      </c>
      <c r="G127" s="23">
        <f t="shared" si="0"/>
        <v>0</v>
      </c>
      <c r="H127" s="56"/>
      <c r="I127" s="56"/>
      <c r="J127" s="56"/>
      <c r="K127" s="56"/>
      <c r="L127" s="13"/>
      <c r="M127" s="24"/>
      <c r="P127" s="25">
        <v>810</v>
      </c>
    </row>
    <row r="128" spans="3:16" ht="12.75" x14ac:dyDescent="0.2">
      <c r="C128" s="6"/>
      <c r="D128" s="55" t="s">
        <v>274</v>
      </c>
      <c r="E128" s="26" t="s">
        <v>188</v>
      </c>
      <c r="F128" s="22" t="s">
        <v>275</v>
      </c>
      <c r="G128" s="23">
        <f t="shared" si="0"/>
        <v>0</v>
      </c>
      <c r="H128" s="57">
        <f>H129+H131</f>
        <v>0</v>
      </c>
      <c r="I128" s="57">
        <f>I129+I131</f>
        <v>0</v>
      </c>
      <c r="J128" s="57">
        <f>J129+J131</f>
        <v>0</v>
      </c>
      <c r="K128" s="57">
        <f>K129+K131</f>
        <v>0</v>
      </c>
      <c r="L128" s="13"/>
      <c r="M128" s="24"/>
      <c r="P128" s="25">
        <v>820</v>
      </c>
    </row>
    <row r="129" spans="3:16" ht="12.75" x14ac:dyDescent="0.2">
      <c r="C129" s="6"/>
      <c r="D129" s="55" t="s">
        <v>276</v>
      </c>
      <c r="E129" s="48" t="s">
        <v>277</v>
      </c>
      <c r="F129" s="22" t="s">
        <v>278</v>
      </c>
      <c r="G129" s="23">
        <f t="shared" si="0"/>
        <v>0</v>
      </c>
      <c r="H129" s="56"/>
      <c r="I129" s="56"/>
      <c r="J129" s="56"/>
      <c r="K129" s="56"/>
      <c r="L129" s="13"/>
      <c r="M129" s="24"/>
      <c r="P129" s="25">
        <v>830</v>
      </c>
    </row>
    <row r="130" spans="3:16" ht="12.75" x14ac:dyDescent="0.2">
      <c r="C130" s="6"/>
      <c r="D130" s="55" t="s">
        <v>279</v>
      </c>
      <c r="E130" s="49" t="s">
        <v>280</v>
      </c>
      <c r="F130" s="22" t="s">
        <v>281</v>
      </c>
      <c r="G130" s="23">
        <f t="shared" si="0"/>
        <v>0</v>
      </c>
      <c r="H130" s="56"/>
      <c r="I130" s="56"/>
      <c r="J130" s="56"/>
      <c r="K130" s="56"/>
      <c r="L130" s="13"/>
      <c r="M130" s="24"/>
      <c r="P130" s="60"/>
    </row>
    <row r="131" spans="3:16" ht="12.75" x14ac:dyDescent="0.2">
      <c r="C131" s="6"/>
      <c r="D131" s="55" t="s">
        <v>282</v>
      </c>
      <c r="E131" s="48" t="s">
        <v>283</v>
      </c>
      <c r="F131" s="22" t="s">
        <v>284</v>
      </c>
      <c r="G131" s="23">
        <f t="shared" si="0"/>
        <v>0</v>
      </c>
      <c r="H131" s="56"/>
      <c r="I131" s="56"/>
      <c r="J131" s="56"/>
      <c r="K131" s="56"/>
      <c r="L131" s="13"/>
      <c r="M131" s="24"/>
      <c r="P131" s="25">
        <v>840</v>
      </c>
    </row>
    <row r="132" spans="3:16" ht="12.75" x14ac:dyDescent="0.2">
      <c r="C132" s="6"/>
      <c r="D132" s="55" t="s">
        <v>30</v>
      </c>
      <c r="E132" s="21" t="s">
        <v>285</v>
      </c>
      <c r="F132" s="22" t="s">
        <v>286</v>
      </c>
      <c r="G132" s="23">
        <f t="shared" si="0"/>
        <v>0</v>
      </c>
      <c r="H132" s="58">
        <f>SUM( H133+H138)</f>
        <v>0</v>
      </c>
      <c r="I132" s="58">
        <f>SUM( I133+I138)</f>
        <v>0</v>
      </c>
      <c r="J132" s="58">
        <f>SUM( J133+J138)</f>
        <v>0</v>
      </c>
      <c r="K132" s="58">
        <f>SUM( K133+K138)</f>
        <v>0</v>
      </c>
      <c r="L132" s="61"/>
      <c r="M132" s="24"/>
      <c r="P132" s="25">
        <v>850</v>
      </c>
    </row>
    <row r="133" spans="3:16" ht="12.75" x14ac:dyDescent="0.2">
      <c r="C133" s="6"/>
      <c r="D133" s="55" t="s">
        <v>287</v>
      </c>
      <c r="E133" s="26" t="s">
        <v>185</v>
      </c>
      <c r="F133" s="22" t="s">
        <v>288</v>
      </c>
      <c r="G133" s="23">
        <f t="shared" ref="G133:G146" si="1">SUM(H133:K133)</f>
        <v>0</v>
      </c>
      <c r="H133" s="58">
        <f>SUM( H134:H135)</f>
        <v>0</v>
      </c>
      <c r="I133" s="58">
        <f>SUM( I134:I135)</f>
        <v>0</v>
      </c>
      <c r="J133" s="58">
        <f>SUM( J134:J135)</f>
        <v>0</v>
      </c>
      <c r="K133" s="58">
        <f>SUM( K134:K135)</f>
        <v>0</v>
      </c>
      <c r="L133" s="61"/>
      <c r="M133" s="24"/>
      <c r="P133" s="25">
        <v>860</v>
      </c>
    </row>
    <row r="134" spans="3:16" ht="12.75" x14ac:dyDescent="0.2">
      <c r="C134" s="6"/>
      <c r="D134" s="55" t="s">
        <v>289</v>
      </c>
      <c r="E134" s="48" t="s">
        <v>206</v>
      </c>
      <c r="F134" s="22" t="s">
        <v>290</v>
      </c>
      <c r="G134" s="23">
        <f t="shared" si="1"/>
        <v>0</v>
      </c>
      <c r="H134" s="62"/>
      <c r="I134" s="62"/>
      <c r="J134" s="62"/>
      <c r="K134" s="62"/>
      <c r="L134" s="61"/>
      <c r="M134" s="24"/>
      <c r="P134" s="25"/>
    </row>
    <row r="135" spans="3:16" ht="12.75" x14ac:dyDescent="0.2">
      <c r="C135" s="6"/>
      <c r="D135" s="55" t="s">
        <v>291</v>
      </c>
      <c r="E135" s="48" t="s">
        <v>209</v>
      </c>
      <c r="F135" s="22" t="s">
        <v>292</v>
      </c>
      <c r="G135" s="23">
        <f t="shared" si="1"/>
        <v>0</v>
      </c>
      <c r="H135" s="58">
        <f>H136+H137</f>
        <v>0</v>
      </c>
      <c r="I135" s="58">
        <f>I136+I137</f>
        <v>0</v>
      </c>
      <c r="J135" s="58">
        <f>J136+J137</f>
        <v>0</v>
      </c>
      <c r="K135" s="58">
        <f>K136+K137</f>
        <v>0</v>
      </c>
      <c r="L135" s="61"/>
      <c r="M135" s="24"/>
      <c r="P135" s="25"/>
    </row>
    <row r="136" spans="3:16" ht="12.75" x14ac:dyDescent="0.2">
      <c r="C136" s="6"/>
      <c r="D136" s="55" t="s">
        <v>293</v>
      </c>
      <c r="E136" s="49" t="s">
        <v>215</v>
      </c>
      <c r="F136" s="22" t="s">
        <v>294</v>
      </c>
      <c r="G136" s="23">
        <f t="shared" si="1"/>
        <v>0</v>
      </c>
      <c r="H136" s="62"/>
      <c r="I136" s="62"/>
      <c r="J136" s="62"/>
      <c r="K136" s="62"/>
      <c r="L136" s="61"/>
      <c r="M136" s="24"/>
      <c r="P136" s="25"/>
    </row>
    <row r="137" spans="3:16" ht="12.75" x14ac:dyDescent="0.2">
      <c r="C137" s="6"/>
      <c r="D137" s="55" t="s">
        <v>295</v>
      </c>
      <c r="E137" s="49" t="s">
        <v>296</v>
      </c>
      <c r="F137" s="22" t="s">
        <v>297</v>
      </c>
      <c r="G137" s="23">
        <f t="shared" si="1"/>
        <v>0</v>
      </c>
      <c r="H137" s="62"/>
      <c r="I137" s="62"/>
      <c r="J137" s="62"/>
      <c r="K137" s="62"/>
      <c r="L137" s="61"/>
      <c r="M137" s="24"/>
      <c r="P137" s="25"/>
    </row>
    <row r="138" spans="3:16" ht="12.75" x14ac:dyDescent="0.2">
      <c r="C138" s="6"/>
      <c r="D138" s="55" t="s">
        <v>298</v>
      </c>
      <c r="E138" s="26" t="s">
        <v>247</v>
      </c>
      <c r="F138" s="22" t="s">
        <v>299</v>
      </c>
      <c r="G138" s="23">
        <f t="shared" si="1"/>
        <v>0</v>
      </c>
      <c r="H138" s="58">
        <f>H139+H141</f>
        <v>0</v>
      </c>
      <c r="I138" s="58">
        <f>I139+I141</f>
        <v>0</v>
      </c>
      <c r="J138" s="58">
        <f>J139+J141</f>
        <v>0</v>
      </c>
      <c r="K138" s="58">
        <f>K139+K141</f>
        <v>0</v>
      </c>
      <c r="L138" s="61"/>
      <c r="M138" s="24"/>
      <c r="P138" s="25">
        <v>870</v>
      </c>
    </row>
    <row r="139" spans="3:16" ht="12.75" x14ac:dyDescent="0.2">
      <c r="C139" s="6"/>
      <c r="D139" s="55" t="s">
        <v>300</v>
      </c>
      <c r="E139" s="48" t="s">
        <v>277</v>
      </c>
      <c r="F139" s="22" t="s">
        <v>301</v>
      </c>
      <c r="G139" s="23">
        <f t="shared" si="1"/>
        <v>0</v>
      </c>
      <c r="H139" s="56"/>
      <c r="I139" s="56"/>
      <c r="J139" s="56"/>
      <c r="K139" s="56"/>
      <c r="L139" s="61"/>
      <c r="M139" s="24"/>
      <c r="P139" s="25">
        <v>880</v>
      </c>
    </row>
    <row r="140" spans="3:16" ht="12.75" x14ac:dyDescent="0.2">
      <c r="C140" s="6"/>
      <c r="D140" s="55" t="s">
        <v>302</v>
      </c>
      <c r="E140" s="49" t="s">
        <v>280</v>
      </c>
      <c r="F140" s="22" t="s">
        <v>303</v>
      </c>
      <c r="G140" s="23">
        <f t="shared" si="1"/>
        <v>0</v>
      </c>
      <c r="H140" s="56"/>
      <c r="I140" s="56"/>
      <c r="J140" s="56"/>
      <c r="K140" s="56"/>
      <c r="L140" s="61"/>
      <c r="M140" s="24"/>
      <c r="P140" s="25"/>
    </row>
    <row r="141" spans="3:16" ht="12.75" x14ac:dyDescent="0.2">
      <c r="C141" s="6"/>
      <c r="D141" s="55" t="s">
        <v>304</v>
      </c>
      <c r="E141" s="48" t="s">
        <v>283</v>
      </c>
      <c r="F141" s="22" t="s">
        <v>305</v>
      </c>
      <c r="G141" s="23">
        <f t="shared" si="1"/>
        <v>0</v>
      </c>
      <c r="H141" s="63"/>
      <c r="I141" s="63"/>
      <c r="J141" s="63"/>
      <c r="K141" s="63"/>
      <c r="L141" s="61"/>
      <c r="M141" s="24"/>
      <c r="P141" s="25">
        <v>890</v>
      </c>
    </row>
    <row r="142" spans="3:16" ht="12.75" x14ac:dyDescent="0.2">
      <c r="C142" s="6"/>
      <c r="D142" s="55" t="s">
        <v>306</v>
      </c>
      <c r="E142" s="21" t="s">
        <v>307</v>
      </c>
      <c r="F142" s="22" t="s">
        <v>308</v>
      </c>
      <c r="G142" s="23">
        <f t="shared" si="1"/>
        <v>2340.1860619999998</v>
      </c>
      <c r="H142" s="64">
        <f>SUM( H143:H144)</f>
        <v>0</v>
      </c>
      <c r="I142" s="64">
        <f>SUM( I143:I144)</f>
        <v>0</v>
      </c>
      <c r="J142" s="64">
        <f>SUM( J143:J144)</f>
        <v>229.34103999999999</v>
      </c>
      <c r="K142" s="64">
        <f>SUM( K143:K144)</f>
        <v>2110.845022</v>
      </c>
      <c r="L142" s="61"/>
      <c r="M142" s="24"/>
      <c r="P142" s="25">
        <v>900</v>
      </c>
    </row>
    <row r="143" spans="3:16" ht="12.75" x14ac:dyDescent="0.2">
      <c r="C143" s="6"/>
      <c r="D143" s="55" t="s">
        <v>309</v>
      </c>
      <c r="E143" s="26" t="s">
        <v>185</v>
      </c>
      <c r="F143" s="22" t="s">
        <v>310</v>
      </c>
      <c r="G143" s="23">
        <f t="shared" si="1"/>
        <v>2340.1860619999998</v>
      </c>
      <c r="H143" s="63"/>
      <c r="I143" s="63"/>
      <c r="J143" s="65">
        <f>J121*1.466</f>
        <v>229.34103999999999</v>
      </c>
      <c r="K143" s="65">
        <f>K121*1.466</f>
        <v>2110.845022</v>
      </c>
      <c r="L143" s="61"/>
      <c r="M143" s="24"/>
      <c r="P143" s="25"/>
    </row>
    <row r="144" spans="3:16" ht="12.75" x14ac:dyDescent="0.2">
      <c r="C144" s="6"/>
      <c r="D144" s="55" t="s">
        <v>311</v>
      </c>
      <c r="E144" s="26" t="s">
        <v>188</v>
      </c>
      <c r="F144" s="22" t="s">
        <v>312</v>
      </c>
      <c r="G144" s="23">
        <f t="shared" si="1"/>
        <v>0</v>
      </c>
      <c r="H144" s="64">
        <f>H145+H146</f>
        <v>0</v>
      </c>
      <c r="I144" s="64">
        <f>I145+I146</f>
        <v>0</v>
      </c>
      <c r="J144" s="64">
        <f>J145+J146</f>
        <v>0</v>
      </c>
      <c r="K144" s="64">
        <f>K145+K146</f>
        <v>0</v>
      </c>
      <c r="L144" s="61"/>
      <c r="M144" s="24"/>
      <c r="P144" s="25"/>
    </row>
    <row r="145" spans="3:19" ht="12.75" x14ac:dyDescent="0.2">
      <c r="C145" s="6"/>
      <c r="D145" s="55" t="s">
        <v>313</v>
      </c>
      <c r="E145" s="48" t="s">
        <v>314</v>
      </c>
      <c r="F145" s="22" t="s">
        <v>315</v>
      </c>
      <c r="G145" s="23">
        <f t="shared" si="1"/>
        <v>0</v>
      </c>
      <c r="H145" s="63"/>
      <c r="I145" s="63"/>
      <c r="J145" s="63"/>
      <c r="K145" s="63"/>
      <c r="L145" s="61"/>
      <c r="M145" s="24"/>
      <c r="P145" s="25" t="s">
        <v>316</v>
      </c>
    </row>
    <row r="146" spans="3:19" ht="12.75" x14ac:dyDescent="0.2">
      <c r="C146" s="6"/>
      <c r="D146" s="55" t="s">
        <v>317</v>
      </c>
      <c r="E146" s="48" t="s">
        <v>283</v>
      </c>
      <c r="F146" s="22" t="s">
        <v>318</v>
      </c>
      <c r="G146" s="23">
        <f t="shared" si="1"/>
        <v>0</v>
      </c>
      <c r="H146" s="63"/>
      <c r="I146" s="63"/>
      <c r="J146" s="63"/>
      <c r="K146" s="66"/>
      <c r="L146" s="61"/>
      <c r="M146" s="24"/>
      <c r="P146" s="25" t="s">
        <v>319</v>
      </c>
    </row>
    <row r="147" spans="3:19" x14ac:dyDescent="0.25">
      <c r="D147" s="11"/>
      <c r="E147" s="67"/>
      <c r="F147" s="67"/>
      <c r="G147" s="67"/>
      <c r="H147" s="67"/>
      <c r="I147" s="67"/>
      <c r="J147" s="67"/>
      <c r="K147" s="68"/>
      <c r="L147" s="68"/>
      <c r="M147" s="68"/>
      <c r="N147" s="68"/>
      <c r="O147" s="68"/>
      <c r="P147" s="68"/>
      <c r="Q147" s="68"/>
      <c r="R147" s="69"/>
      <c r="S147" s="69"/>
    </row>
    <row r="148" spans="3:19" ht="12.75" x14ac:dyDescent="0.2">
      <c r="E148" s="24" t="s">
        <v>320</v>
      </c>
      <c r="F148" s="79" t="str">
        <f>IF([8]Титульный!G45="","",[8]Титульный!G45)</f>
        <v>Коммерческий директор</v>
      </c>
      <c r="G148" s="79"/>
      <c r="H148" s="70"/>
      <c r="I148" s="79" t="str">
        <f>IF([8]Титульный!G44="","",[8]Титульный!G44)</f>
        <v>Байков Алексей Александрович</v>
      </c>
      <c r="J148" s="79"/>
      <c r="K148" s="79"/>
      <c r="L148" s="70"/>
      <c r="M148" s="71"/>
      <c r="N148" s="71"/>
      <c r="O148" s="72"/>
      <c r="P148" s="68"/>
      <c r="Q148" s="68"/>
      <c r="R148" s="69"/>
      <c r="S148" s="69"/>
    </row>
    <row r="149" spans="3:19" ht="12.75" x14ac:dyDescent="0.2">
      <c r="E149" s="73" t="s">
        <v>321</v>
      </c>
      <c r="F149" s="78" t="s">
        <v>322</v>
      </c>
      <c r="G149" s="78"/>
      <c r="H149" s="72"/>
      <c r="I149" s="78" t="s">
        <v>323</v>
      </c>
      <c r="J149" s="78"/>
      <c r="K149" s="78"/>
      <c r="L149" s="72"/>
      <c r="M149" s="78" t="s">
        <v>324</v>
      </c>
      <c r="N149" s="78"/>
      <c r="O149" s="24"/>
      <c r="P149" s="68"/>
      <c r="Q149" s="68"/>
      <c r="R149" s="69"/>
      <c r="S149" s="69"/>
    </row>
    <row r="150" spans="3:19" ht="12.75" x14ac:dyDescent="0.2">
      <c r="E150" s="73" t="s">
        <v>325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68"/>
      <c r="Q150" s="68"/>
      <c r="R150" s="69"/>
      <c r="S150" s="69"/>
    </row>
    <row r="151" spans="3:19" ht="12.75" x14ac:dyDescent="0.2">
      <c r="E151" s="73" t="s">
        <v>326</v>
      </c>
      <c r="F151" s="79" t="str">
        <f>IF([8]Титульный!G46="","",[8]Титульный!G46)</f>
        <v>(495) 637 3220</v>
      </c>
      <c r="G151" s="79"/>
      <c r="H151" s="79"/>
      <c r="I151" s="24"/>
      <c r="J151" s="73" t="s">
        <v>327</v>
      </c>
      <c r="K151" s="76"/>
      <c r="L151" s="24"/>
      <c r="M151" s="24"/>
      <c r="N151" s="24"/>
      <c r="O151" s="24"/>
      <c r="P151" s="68"/>
      <c r="Q151" s="68"/>
      <c r="R151" s="69"/>
      <c r="S151" s="69"/>
    </row>
    <row r="152" spans="3:19" ht="12.75" x14ac:dyDescent="0.2">
      <c r="E152" s="24" t="s">
        <v>328</v>
      </c>
      <c r="F152" s="80" t="s">
        <v>329</v>
      </c>
      <c r="G152" s="80"/>
      <c r="H152" s="80"/>
      <c r="I152" s="24"/>
      <c r="J152" s="75" t="s">
        <v>330</v>
      </c>
      <c r="K152" s="75"/>
      <c r="L152" s="24"/>
      <c r="M152" s="24"/>
      <c r="N152" s="24"/>
      <c r="O152" s="24"/>
      <c r="P152" s="68"/>
      <c r="Q152" s="68"/>
      <c r="R152" s="69"/>
      <c r="S152" s="69"/>
    </row>
    <row r="153" spans="3:19" x14ac:dyDescent="0.25"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9"/>
      <c r="S153" s="69"/>
    </row>
    <row r="154" spans="3:19" x14ac:dyDescent="0.25"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9"/>
      <c r="S154" s="69"/>
    </row>
    <row r="155" spans="3:19" x14ac:dyDescent="0.25"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9"/>
      <c r="S155" s="69"/>
    </row>
    <row r="156" spans="3:19" x14ac:dyDescent="0.25"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9"/>
      <c r="S156" s="69"/>
    </row>
    <row r="157" spans="3:19" x14ac:dyDescent="0.25"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9"/>
      <c r="S157" s="69"/>
    </row>
    <row r="158" spans="3:19" x14ac:dyDescent="0.25"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9"/>
      <c r="S158" s="69"/>
    </row>
    <row r="159" spans="3:19" x14ac:dyDescent="0.25"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  <c r="S159" s="69"/>
    </row>
    <row r="160" spans="3:19" x14ac:dyDescent="0.25"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9"/>
      <c r="S160" s="69"/>
    </row>
    <row r="161" spans="5:19" x14ac:dyDescent="0.25"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9"/>
      <c r="S161" s="69"/>
    </row>
    <row r="162" spans="5:19" x14ac:dyDescent="0.25"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9"/>
      <c r="S162" s="69"/>
    </row>
    <row r="163" spans="5:19" x14ac:dyDescent="0.25"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9"/>
      <c r="S163" s="69"/>
    </row>
    <row r="164" spans="5:19" x14ac:dyDescent="0.25"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9"/>
      <c r="S164" s="69"/>
    </row>
    <row r="165" spans="5:19" x14ac:dyDescent="0.25"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9"/>
      <c r="S165" s="69"/>
    </row>
    <row r="166" spans="5:19" x14ac:dyDescent="0.25"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9"/>
      <c r="S166" s="69"/>
    </row>
    <row r="167" spans="5:19" x14ac:dyDescent="0.25"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9"/>
      <c r="S167" s="69"/>
    </row>
    <row r="168" spans="5:19" x14ac:dyDescent="0.25"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9"/>
      <c r="S168" s="69"/>
    </row>
    <row r="169" spans="5:19" x14ac:dyDescent="0.25"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9"/>
      <c r="S169" s="69"/>
    </row>
    <row r="170" spans="5:19" x14ac:dyDescent="0.25"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9"/>
      <c r="S170" s="69"/>
    </row>
    <row r="171" spans="5:19" x14ac:dyDescent="0.25"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9"/>
      <c r="S171" s="69"/>
    </row>
    <row r="172" spans="5:19" x14ac:dyDescent="0.25"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9"/>
      <c r="S172" s="69"/>
    </row>
    <row r="173" spans="5:19" x14ac:dyDescent="0.25"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9"/>
      <c r="S173" s="69"/>
    </row>
    <row r="174" spans="5:19" x14ac:dyDescent="0.25"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9"/>
      <c r="S174" s="69"/>
    </row>
    <row r="175" spans="5:19" x14ac:dyDescent="0.25"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9"/>
      <c r="S175" s="69"/>
    </row>
    <row r="176" spans="5:19" x14ac:dyDescent="0.25"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9"/>
      <c r="S176" s="69"/>
    </row>
    <row r="177" spans="5:19" x14ac:dyDescent="0.25"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9"/>
      <c r="S177" s="69"/>
    </row>
    <row r="178" spans="5:19" x14ac:dyDescent="0.25"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</row>
    <row r="179" spans="5:19" x14ac:dyDescent="0.25"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5:19" x14ac:dyDescent="0.25"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5:19" x14ac:dyDescent="0.25"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</sheetData>
  <mergeCells count="18">
    <mergeCell ref="F148:G148"/>
    <mergeCell ref="I148:K148"/>
    <mergeCell ref="D8:E8"/>
    <mergeCell ref="D11:D12"/>
    <mergeCell ref="E11:E12"/>
    <mergeCell ref="F11:F12"/>
    <mergeCell ref="G11:G12"/>
    <mergeCell ref="H11:K11"/>
    <mergeCell ref="D14:K14"/>
    <mergeCell ref="D51:K51"/>
    <mergeCell ref="D88:K88"/>
    <mergeCell ref="D92:K92"/>
    <mergeCell ref="D125:K125"/>
    <mergeCell ref="F149:G149"/>
    <mergeCell ref="I149:K149"/>
    <mergeCell ref="M149:N149"/>
    <mergeCell ref="F151:H151"/>
    <mergeCell ref="F152:H152"/>
  </mergeCells>
  <dataValidations count="2">
    <dataValidation allowBlank="1" showInputMessage="1" promptTitle="Ввод" prompt="Для выбора организации необходимо два раза нажать левую клавишу мыши!" sqref="E25 E62"/>
    <dataValidation type="decimal" allowBlank="1" showErrorMessage="1" errorTitle="Ошибка" error="Допускается ввод только действительных чисел!" sqref="G27:K40 G89:K91 G93:K124 G52:K55 G23:K25 G79:K87 G20:K21 G64:K77 G42:K50 G15:K18 G126:K146 G57:K58 G60:K6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Y181"/>
  <sheetViews>
    <sheetView view="pageBreakPreview" topLeftCell="C7" zoomScaleNormal="100" zoomScaleSheetLayoutView="100" workbookViewId="0">
      <selection activeCell="K8" sqref="K8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idden="1" x14ac:dyDescent="0.25">
      <c r="S1" s="2"/>
      <c r="T1" s="2"/>
      <c r="U1" s="2"/>
      <c r="V1" s="2"/>
      <c r="Y1" s="2"/>
      <c r="AN1" s="2"/>
      <c r="AO1" s="2"/>
      <c r="AP1" s="2"/>
      <c r="BC1" s="2"/>
      <c r="BF1" s="2"/>
      <c r="BI1" s="2"/>
      <c r="BJ1" s="2"/>
      <c r="BX1" s="2"/>
      <c r="BY1" s="2"/>
    </row>
    <row r="2" spans="1:77" hidden="1" x14ac:dyDescent="0.25"/>
    <row r="3" spans="1:77" hidden="1" x14ac:dyDescent="0.25"/>
    <row r="4" spans="1:77" hidden="1" x14ac:dyDescent="0.2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idden="1" x14ac:dyDescent="0.2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idden="1" x14ac:dyDescent="0.25">
      <c r="A6" s="5"/>
    </row>
    <row r="7" spans="1:77" ht="12" customHeight="1" x14ac:dyDescent="0.25">
      <c r="A7" s="5"/>
      <c r="D7" s="6"/>
      <c r="E7" s="6"/>
      <c r="F7" s="6"/>
      <c r="G7" s="6"/>
      <c r="H7" s="6"/>
      <c r="I7" s="6"/>
      <c r="J7" s="6"/>
      <c r="K7" s="7" t="s">
        <v>339</v>
      </c>
      <c r="Q7" s="8"/>
    </row>
    <row r="8" spans="1:77" ht="22.5" customHeight="1" x14ac:dyDescent="0.25">
      <c r="A8" s="5"/>
      <c r="D8" s="81" t="s">
        <v>11</v>
      </c>
      <c r="E8" s="8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77" x14ac:dyDescent="0.25">
      <c r="A9" s="5"/>
      <c r="D9" s="10" t="str">
        <f>IF(org="","Не определено",org)</f>
        <v>ЗАО "Коттон Вэй"</v>
      </c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77" ht="12" customHeight="1" x14ac:dyDescent="0.25">
      <c r="D10" s="11"/>
      <c r="E10" s="11"/>
      <c r="F10" s="6"/>
      <c r="G10" s="6"/>
      <c r="H10" s="6"/>
      <c r="I10" s="6"/>
      <c r="K10" s="12" t="s">
        <v>12</v>
      </c>
    </row>
    <row r="11" spans="1:77" ht="15" customHeight="1" x14ac:dyDescent="0.25">
      <c r="C11" s="6"/>
      <c r="D11" s="82" t="s">
        <v>13</v>
      </c>
      <c r="E11" s="84" t="s">
        <v>14</v>
      </c>
      <c r="F11" s="84" t="s">
        <v>15</v>
      </c>
      <c r="G11" s="84" t="s">
        <v>16</v>
      </c>
      <c r="H11" s="84" t="s">
        <v>17</v>
      </c>
      <c r="I11" s="84"/>
      <c r="J11" s="84"/>
      <c r="K11" s="86"/>
      <c r="L11" s="13"/>
    </row>
    <row r="12" spans="1:77" ht="15" customHeight="1" x14ac:dyDescent="0.25">
      <c r="C12" s="6"/>
      <c r="D12" s="83"/>
      <c r="E12" s="85"/>
      <c r="F12" s="85"/>
      <c r="G12" s="85"/>
      <c r="H12" s="77" t="s">
        <v>18</v>
      </c>
      <c r="I12" s="77" t="s">
        <v>19</v>
      </c>
      <c r="J12" s="77" t="s">
        <v>20</v>
      </c>
      <c r="K12" s="15" t="s">
        <v>21</v>
      </c>
      <c r="L12" s="13"/>
    </row>
    <row r="13" spans="1:77" ht="12" customHeight="1" x14ac:dyDescent="0.25">
      <c r="D13" s="16">
        <v>0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</row>
    <row r="14" spans="1:77" s="17" customFormat="1" ht="15" customHeight="1" x14ac:dyDescent="0.25">
      <c r="C14" s="18"/>
      <c r="D14" s="87" t="s">
        <v>22</v>
      </c>
      <c r="E14" s="88"/>
      <c r="F14" s="88"/>
      <c r="G14" s="88"/>
      <c r="H14" s="88"/>
      <c r="I14" s="88"/>
      <c r="J14" s="88"/>
      <c r="K14" s="89"/>
      <c r="L14" s="19"/>
    </row>
    <row r="15" spans="1:77" s="17" customFormat="1" ht="15" customHeight="1" x14ac:dyDescent="0.2">
      <c r="C15" s="18"/>
      <c r="D15" s="20" t="s">
        <v>23</v>
      </c>
      <c r="E15" s="21" t="s">
        <v>24</v>
      </c>
      <c r="F15" s="22">
        <v>10</v>
      </c>
      <c r="G15" s="23">
        <f>SUM(H15:K15)</f>
        <v>1706.0100000000002</v>
      </c>
      <c r="H15" s="23">
        <f>H16+H17+H20+H23</f>
        <v>1307.7360000000001</v>
      </c>
      <c r="I15" s="23">
        <f>I16+I17+I20+I23</f>
        <v>0</v>
      </c>
      <c r="J15" s="23">
        <f>J16+J17+J20+J23</f>
        <v>398.274</v>
      </c>
      <c r="K15" s="23">
        <f>K16+K17+K20+K23</f>
        <v>0</v>
      </c>
      <c r="L15" s="19"/>
      <c r="M15" s="24"/>
      <c r="P15" s="25">
        <v>10</v>
      </c>
    </row>
    <row r="16" spans="1:77" s="17" customFormat="1" ht="15" customHeight="1" x14ac:dyDescent="0.2">
      <c r="C16" s="18"/>
      <c r="D16" s="20" t="s">
        <v>25</v>
      </c>
      <c r="E16" s="26" t="s">
        <v>26</v>
      </c>
      <c r="F16" s="22">
        <v>20</v>
      </c>
      <c r="G16" s="23">
        <f t="shared" ref="G16:G132" si="0">SUM(H16:K16)</f>
        <v>0</v>
      </c>
      <c r="H16" s="27"/>
      <c r="I16" s="27"/>
      <c r="J16" s="27"/>
      <c r="K16" s="27"/>
      <c r="L16" s="19"/>
      <c r="M16" s="24"/>
      <c r="P16" s="25">
        <v>20</v>
      </c>
    </row>
    <row r="17" spans="3:16" s="17" customFormat="1" ht="12.75" x14ac:dyDescent="0.2">
      <c r="C17" s="18"/>
      <c r="D17" s="20" t="s">
        <v>27</v>
      </c>
      <c r="E17" s="26" t="s">
        <v>28</v>
      </c>
      <c r="F17" s="22">
        <v>30</v>
      </c>
      <c r="G17" s="23">
        <f t="shared" si="0"/>
        <v>0</v>
      </c>
      <c r="H17" s="23">
        <f>SUM(H18:H19)</f>
        <v>0</v>
      </c>
      <c r="I17" s="23">
        <f>SUM(I18:I19)</f>
        <v>0</v>
      </c>
      <c r="J17" s="23">
        <f>SUM(J18:J19)</f>
        <v>0</v>
      </c>
      <c r="K17" s="23">
        <f>SUM(K18:K19)</f>
        <v>0</v>
      </c>
      <c r="L17" s="19"/>
      <c r="M17" s="24"/>
      <c r="P17" s="25">
        <v>30</v>
      </c>
    </row>
    <row r="18" spans="3:16" s="17" customFormat="1" ht="12.75" x14ac:dyDescent="0.2">
      <c r="C18" s="18"/>
      <c r="D18" s="28" t="s">
        <v>29</v>
      </c>
      <c r="E18" s="29"/>
      <c r="F18" s="30" t="s">
        <v>30</v>
      </c>
      <c r="G18" s="31"/>
      <c r="H18" s="31"/>
      <c r="I18" s="31"/>
      <c r="J18" s="31"/>
      <c r="K18" s="31"/>
      <c r="L18" s="19"/>
      <c r="M18" s="24"/>
      <c r="P18" s="25"/>
    </row>
    <row r="19" spans="3:16" s="17" customFormat="1" ht="12.75" x14ac:dyDescent="0.2">
      <c r="C19" s="18"/>
      <c r="D19" s="32"/>
      <c r="E19" s="33" t="s">
        <v>31</v>
      </c>
      <c r="F19" s="34"/>
      <c r="G19" s="34"/>
      <c r="H19" s="34"/>
      <c r="I19" s="34"/>
      <c r="J19" s="34"/>
      <c r="K19" s="35"/>
      <c r="L19" s="19"/>
      <c r="M19" s="24"/>
      <c r="P19" s="36"/>
    </row>
    <row r="20" spans="3:16" s="17" customFormat="1" ht="12.75" x14ac:dyDescent="0.2">
      <c r="C20" s="18"/>
      <c r="D20" s="20" t="s">
        <v>32</v>
      </c>
      <c r="E20" s="26" t="s">
        <v>33</v>
      </c>
      <c r="F20" s="22" t="s">
        <v>34</v>
      </c>
      <c r="G20" s="23">
        <f t="shared" si="0"/>
        <v>0</v>
      </c>
      <c r="H20" s="23">
        <f>SUM(H21:H22)</f>
        <v>0</v>
      </c>
      <c r="I20" s="23">
        <f>SUM(I21:I22)</f>
        <v>0</v>
      </c>
      <c r="J20" s="23">
        <f>SUM(J21:J22)</f>
        <v>0</v>
      </c>
      <c r="K20" s="23">
        <f>SUM(K21:K22)</f>
        <v>0</v>
      </c>
      <c r="L20" s="19"/>
      <c r="M20" s="24"/>
      <c r="P20" s="36"/>
    </row>
    <row r="21" spans="3:16" s="17" customFormat="1" ht="12.75" x14ac:dyDescent="0.2">
      <c r="C21" s="18"/>
      <c r="D21" s="28" t="s">
        <v>35</v>
      </c>
      <c r="E21" s="29"/>
      <c r="F21" s="30" t="s">
        <v>34</v>
      </c>
      <c r="G21" s="31"/>
      <c r="H21" s="31"/>
      <c r="I21" s="31"/>
      <c r="J21" s="31"/>
      <c r="K21" s="31"/>
      <c r="L21" s="19"/>
      <c r="M21" s="24"/>
      <c r="P21" s="25"/>
    </row>
    <row r="22" spans="3:16" s="17" customFormat="1" ht="12.75" x14ac:dyDescent="0.2">
      <c r="C22" s="18"/>
      <c r="D22" s="32"/>
      <c r="E22" s="33" t="s">
        <v>31</v>
      </c>
      <c r="F22" s="34"/>
      <c r="G22" s="34"/>
      <c r="H22" s="34"/>
      <c r="I22" s="34"/>
      <c r="J22" s="34"/>
      <c r="K22" s="35"/>
      <c r="L22" s="19"/>
      <c r="M22" s="24"/>
      <c r="P22" s="36"/>
    </row>
    <row r="23" spans="3:16" s="17" customFormat="1" ht="12.75" x14ac:dyDescent="0.2">
      <c r="C23" s="18"/>
      <c r="D23" s="20" t="s">
        <v>36</v>
      </c>
      <c r="E23" s="26" t="s">
        <v>37</v>
      </c>
      <c r="F23" s="22" t="s">
        <v>38</v>
      </c>
      <c r="G23" s="23">
        <f t="shared" si="0"/>
        <v>1706.0100000000002</v>
      </c>
      <c r="H23" s="23">
        <f>SUM(H24:H26)</f>
        <v>1307.7360000000001</v>
      </c>
      <c r="I23" s="23">
        <f>SUM(I24:I26)</f>
        <v>0</v>
      </c>
      <c r="J23" s="23">
        <f>SUM(J24:J26)</f>
        <v>398.274</v>
      </c>
      <c r="K23" s="23">
        <f>SUM(K24:K26)</f>
        <v>0</v>
      </c>
      <c r="L23" s="19"/>
      <c r="M23" s="24"/>
      <c r="P23" s="25">
        <v>40</v>
      </c>
    </row>
    <row r="24" spans="3:16" s="17" customFormat="1" ht="12.75" x14ac:dyDescent="0.2">
      <c r="C24" s="18"/>
      <c r="D24" s="28" t="s">
        <v>39</v>
      </c>
      <c r="E24" s="29"/>
      <c r="F24" s="30" t="s">
        <v>38</v>
      </c>
      <c r="G24" s="31"/>
      <c r="H24" s="31"/>
      <c r="I24" s="31"/>
      <c r="J24" s="31"/>
      <c r="K24" s="31"/>
      <c r="L24" s="19"/>
      <c r="M24" s="24"/>
      <c r="P24" s="25"/>
    </row>
    <row r="25" spans="3:16" s="17" customFormat="1" ht="15" x14ac:dyDescent="0.25">
      <c r="C25" s="37" t="s">
        <v>40</v>
      </c>
      <c r="D25" s="38" t="s">
        <v>41</v>
      </c>
      <c r="E25" s="39" t="s">
        <v>42</v>
      </c>
      <c r="F25" s="40">
        <v>431</v>
      </c>
      <c r="G25" s="41">
        <f>SUM(H25:K25)</f>
        <v>1706.0100000000002</v>
      </c>
      <c r="H25" s="42">
        <v>1307.7360000000001</v>
      </c>
      <c r="I25" s="42">
        <v>0</v>
      </c>
      <c r="J25" s="42">
        <v>398.274</v>
      </c>
      <c r="K25" s="42">
        <v>0</v>
      </c>
      <c r="L25" s="19"/>
      <c r="M25" s="43" t="s">
        <v>43</v>
      </c>
      <c r="N25" s="44" t="s">
        <v>44</v>
      </c>
      <c r="O25" s="44" t="s">
        <v>45</v>
      </c>
    </row>
    <row r="26" spans="3:16" s="17" customFormat="1" ht="12.75" x14ac:dyDescent="0.2">
      <c r="C26" s="18"/>
      <c r="D26" s="32"/>
      <c r="E26" s="33" t="s">
        <v>31</v>
      </c>
      <c r="F26" s="34"/>
      <c r="G26" s="34"/>
      <c r="H26" s="34"/>
      <c r="I26" s="34"/>
      <c r="J26" s="34"/>
      <c r="K26" s="35"/>
      <c r="L26" s="19"/>
      <c r="M26" s="24"/>
      <c r="P26" s="25"/>
    </row>
    <row r="27" spans="3:16" s="17" customFormat="1" ht="12.75" x14ac:dyDescent="0.2">
      <c r="C27" s="18"/>
      <c r="D27" s="20" t="s">
        <v>46</v>
      </c>
      <c r="E27" s="21" t="s">
        <v>47</v>
      </c>
      <c r="F27" s="22" t="s">
        <v>48</v>
      </c>
      <c r="G27" s="23">
        <f t="shared" si="0"/>
        <v>2810.527</v>
      </c>
      <c r="H27" s="23">
        <f>H29+H30+H31</f>
        <v>0</v>
      </c>
      <c r="I27" s="23">
        <f>I28+I30+I31</f>
        <v>0</v>
      </c>
      <c r="J27" s="23">
        <f>J28+J29+J31</f>
        <v>1307.7360000000001</v>
      </c>
      <c r="K27" s="23">
        <f>K28+K29+K30</f>
        <v>1502.7910000000002</v>
      </c>
      <c r="L27" s="19"/>
      <c r="M27" s="24"/>
      <c r="P27" s="25">
        <v>50</v>
      </c>
    </row>
    <row r="28" spans="3:16" s="17" customFormat="1" ht="12.75" x14ac:dyDescent="0.2">
      <c r="C28" s="18"/>
      <c r="D28" s="20" t="s">
        <v>49</v>
      </c>
      <c r="E28" s="26" t="s">
        <v>18</v>
      </c>
      <c r="F28" s="22" t="s">
        <v>50</v>
      </c>
      <c r="G28" s="23">
        <f t="shared" si="0"/>
        <v>1307.7360000000001</v>
      </c>
      <c r="H28" s="45"/>
      <c r="I28" s="27"/>
      <c r="J28" s="27">
        <f>H25</f>
        <v>1307.7360000000001</v>
      </c>
      <c r="K28" s="27"/>
      <c r="L28" s="19"/>
      <c r="M28" s="24"/>
      <c r="P28" s="25">
        <v>60</v>
      </c>
    </row>
    <row r="29" spans="3:16" s="17" customFormat="1" ht="12.75" x14ac:dyDescent="0.2">
      <c r="C29" s="18"/>
      <c r="D29" s="20" t="s">
        <v>51</v>
      </c>
      <c r="E29" s="26" t="s">
        <v>19</v>
      </c>
      <c r="F29" s="22" t="s">
        <v>52</v>
      </c>
      <c r="G29" s="23">
        <f t="shared" si="0"/>
        <v>0</v>
      </c>
      <c r="H29" s="27"/>
      <c r="I29" s="45"/>
      <c r="J29" s="27"/>
      <c r="K29" s="27"/>
      <c r="L29" s="19"/>
      <c r="M29" s="24"/>
      <c r="P29" s="25">
        <v>70</v>
      </c>
    </row>
    <row r="30" spans="3:16" s="17" customFormat="1" ht="12.75" x14ac:dyDescent="0.2">
      <c r="C30" s="18"/>
      <c r="D30" s="20" t="s">
        <v>53</v>
      </c>
      <c r="E30" s="26" t="s">
        <v>20</v>
      </c>
      <c r="F30" s="22" t="s">
        <v>54</v>
      </c>
      <c r="G30" s="23">
        <f t="shared" si="0"/>
        <v>1502.7910000000002</v>
      </c>
      <c r="H30" s="27"/>
      <c r="I30" s="27"/>
      <c r="J30" s="45"/>
      <c r="K30" s="27">
        <f>H25+J25-J36-J46</f>
        <v>1502.7910000000002</v>
      </c>
      <c r="L30" s="19"/>
      <c r="M30" s="24"/>
      <c r="P30" s="25">
        <v>80</v>
      </c>
    </row>
    <row r="31" spans="3:16" s="17" customFormat="1" ht="12.75" x14ac:dyDescent="0.2">
      <c r="C31" s="18"/>
      <c r="D31" s="20" t="s">
        <v>55</v>
      </c>
      <c r="E31" s="26" t="s">
        <v>56</v>
      </c>
      <c r="F31" s="22" t="s">
        <v>57</v>
      </c>
      <c r="G31" s="23">
        <f t="shared" si="0"/>
        <v>0</v>
      </c>
      <c r="H31" s="27"/>
      <c r="I31" s="27"/>
      <c r="J31" s="27"/>
      <c r="K31" s="45"/>
      <c r="L31" s="19"/>
      <c r="M31" s="24"/>
      <c r="P31" s="25">
        <v>90</v>
      </c>
    </row>
    <row r="32" spans="3:16" s="17" customFormat="1" ht="12.75" x14ac:dyDescent="0.2">
      <c r="C32" s="18"/>
      <c r="D32" s="20" t="s">
        <v>58</v>
      </c>
      <c r="E32" s="46" t="s">
        <v>59</v>
      </c>
      <c r="F32" s="22" t="s">
        <v>60</v>
      </c>
      <c r="G32" s="23">
        <f t="shared" si="0"/>
        <v>0</v>
      </c>
      <c r="H32" s="27"/>
      <c r="I32" s="27"/>
      <c r="J32" s="27"/>
      <c r="K32" s="27"/>
      <c r="L32" s="19"/>
      <c r="M32" s="24"/>
      <c r="P32" s="25"/>
    </row>
    <row r="33" spans="3:16" s="17" customFormat="1" ht="12.75" x14ac:dyDescent="0.2">
      <c r="C33" s="18"/>
      <c r="D33" s="20" t="s">
        <v>61</v>
      </c>
      <c r="E33" s="21" t="s">
        <v>62</v>
      </c>
      <c r="F33" s="47" t="s">
        <v>63</v>
      </c>
      <c r="G33" s="23">
        <f t="shared" si="0"/>
        <v>1763.0740000000001</v>
      </c>
      <c r="H33" s="23">
        <f>H34+H36+H39+H42</f>
        <v>0</v>
      </c>
      <c r="I33" s="23">
        <f>I34+I36+I39+I42</f>
        <v>0</v>
      </c>
      <c r="J33" s="23">
        <f>J34+J36+J39+J42</f>
        <v>203.21899999999999</v>
      </c>
      <c r="K33" s="23">
        <f>K34+K36+K39+K42</f>
        <v>1559.855</v>
      </c>
      <c r="L33" s="19"/>
      <c r="M33" s="24"/>
      <c r="P33" s="25">
        <v>100</v>
      </c>
    </row>
    <row r="34" spans="3:16" s="17" customFormat="1" ht="22.5" x14ac:dyDescent="0.2">
      <c r="C34" s="18"/>
      <c r="D34" s="20" t="s">
        <v>64</v>
      </c>
      <c r="E34" s="26" t="s">
        <v>65</v>
      </c>
      <c r="F34" s="22" t="s">
        <v>66</v>
      </c>
      <c r="G34" s="23">
        <f t="shared" si="0"/>
        <v>0</v>
      </c>
      <c r="H34" s="27"/>
      <c r="I34" s="27"/>
      <c r="J34" s="27"/>
      <c r="K34" s="27"/>
      <c r="L34" s="19"/>
      <c r="M34" s="24"/>
      <c r="P34" s="25"/>
    </row>
    <row r="35" spans="3:16" s="17" customFormat="1" ht="12.75" x14ac:dyDescent="0.2">
      <c r="C35" s="18"/>
      <c r="D35" s="20" t="s">
        <v>67</v>
      </c>
      <c r="E35" s="48" t="s">
        <v>68</v>
      </c>
      <c r="F35" s="22" t="s">
        <v>69</v>
      </c>
      <c r="G35" s="23">
        <f t="shared" si="0"/>
        <v>0</v>
      </c>
      <c r="H35" s="27"/>
      <c r="I35" s="27"/>
      <c r="J35" s="27"/>
      <c r="K35" s="27"/>
      <c r="L35" s="19"/>
      <c r="M35" s="24"/>
      <c r="P35" s="25"/>
    </row>
    <row r="36" spans="3:16" s="17" customFormat="1" ht="12.75" x14ac:dyDescent="0.2">
      <c r="C36" s="18"/>
      <c r="D36" s="20" t="s">
        <v>70</v>
      </c>
      <c r="E36" s="26" t="s">
        <v>71</v>
      </c>
      <c r="F36" s="22" t="s">
        <v>72</v>
      </c>
      <c r="G36" s="23">
        <f t="shared" si="0"/>
        <v>1763.0740000000001</v>
      </c>
      <c r="H36" s="27">
        <v>0</v>
      </c>
      <c r="I36" s="27">
        <v>0</v>
      </c>
      <c r="J36" s="27">
        <v>203.21899999999999</v>
      </c>
      <c r="K36" s="27">
        <v>1559.855</v>
      </c>
      <c r="L36" s="19"/>
      <c r="M36" s="24"/>
      <c r="P36" s="25"/>
    </row>
    <row r="37" spans="3:16" s="17" customFormat="1" ht="12.75" x14ac:dyDescent="0.2">
      <c r="C37" s="18"/>
      <c r="D37" s="20" t="s">
        <v>73</v>
      </c>
      <c r="E37" s="48" t="s">
        <v>74</v>
      </c>
      <c r="F37" s="22" t="s">
        <v>75</v>
      </c>
      <c r="G37" s="23">
        <f t="shared" si="0"/>
        <v>0</v>
      </c>
      <c r="H37" s="27"/>
      <c r="I37" s="27"/>
      <c r="J37" s="27"/>
      <c r="K37" s="27"/>
      <c r="L37" s="19"/>
      <c r="M37" s="24"/>
      <c r="P37" s="25"/>
    </row>
    <row r="38" spans="3:16" s="17" customFormat="1" ht="12.75" x14ac:dyDescent="0.2">
      <c r="C38" s="18"/>
      <c r="D38" s="20" t="s">
        <v>76</v>
      </c>
      <c r="E38" s="49" t="s">
        <v>68</v>
      </c>
      <c r="F38" s="22" t="s">
        <v>77</v>
      </c>
      <c r="G38" s="23">
        <f t="shared" si="0"/>
        <v>0</v>
      </c>
      <c r="H38" s="27"/>
      <c r="I38" s="27"/>
      <c r="J38" s="27"/>
      <c r="K38" s="27"/>
      <c r="L38" s="19"/>
      <c r="M38" s="24"/>
      <c r="P38" s="25"/>
    </row>
    <row r="39" spans="3:16" s="17" customFormat="1" ht="12.75" x14ac:dyDescent="0.2">
      <c r="C39" s="18"/>
      <c r="D39" s="20" t="s">
        <v>78</v>
      </c>
      <c r="E39" s="26" t="s">
        <v>79</v>
      </c>
      <c r="F39" s="22" t="s">
        <v>80</v>
      </c>
      <c r="G39" s="23">
        <f t="shared" si="0"/>
        <v>0</v>
      </c>
      <c r="H39" s="23">
        <f>SUM(H40:H41)</f>
        <v>0</v>
      </c>
      <c r="I39" s="23">
        <f>SUM(I40:I41)</f>
        <v>0</v>
      </c>
      <c r="J39" s="23">
        <f>SUM(J40:J41)</f>
        <v>0</v>
      </c>
      <c r="K39" s="23">
        <f>SUM(K40:K41)</f>
        <v>0</v>
      </c>
      <c r="L39" s="19"/>
      <c r="M39" s="24"/>
      <c r="P39" s="25"/>
    </row>
    <row r="40" spans="3:16" s="17" customFormat="1" ht="12.75" x14ac:dyDescent="0.2">
      <c r="C40" s="18"/>
      <c r="D40" s="28" t="s">
        <v>81</v>
      </c>
      <c r="E40" s="29"/>
      <c r="F40" s="30" t="s">
        <v>80</v>
      </c>
      <c r="G40" s="31"/>
      <c r="H40" s="31"/>
      <c r="I40" s="31"/>
      <c r="J40" s="31"/>
      <c r="K40" s="31"/>
      <c r="L40" s="19"/>
      <c r="M40" s="24"/>
      <c r="P40" s="25"/>
    </row>
    <row r="41" spans="3:16" s="17" customFormat="1" ht="12.75" x14ac:dyDescent="0.2">
      <c r="C41" s="18"/>
      <c r="D41" s="50"/>
      <c r="E41" s="33" t="s">
        <v>31</v>
      </c>
      <c r="F41" s="34"/>
      <c r="G41" s="34"/>
      <c r="H41" s="34"/>
      <c r="I41" s="34"/>
      <c r="J41" s="34"/>
      <c r="K41" s="35"/>
      <c r="L41" s="19"/>
      <c r="M41" s="24"/>
      <c r="P41" s="25"/>
    </row>
    <row r="42" spans="3:16" s="17" customFormat="1" ht="12.75" x14ac:dyDescent="0.2">
      <c r="C42" s="18"/>
      <c r="D42" s="20" t="s">
        <v>82</v>
      </c>
      <c r="E42" s="51" t="s">
        <v>83</v>
      </c>
      <c r="F42" s="22" t="s">
        <v>84</v>
      </c>
      <c r="G42" s="23">
        <f t="shared" si="0"/>
        <v>0</v>
      </c>
      <c r="H42" s="27"/>
      <c r="I42" s="27"/>
      <c r="J42" s="27"/>
      <c r="K42" s="27"/>
      <c r="L42" s="19"/>
      <c r="M42" s="24"/>
      <c r="P42" s="25">
        <v>120</v>
      </c>
    </row>
    <row r="43" spans="3:16" s="17" customFormat="1" ht="12.75" x14ac:dyDescent="0.2">
      <c r="C43" s="18"/>
      <c r="D43" s="20" t="s">
        <v>85</v>
      </c>
      <c r="E43" s="21" t="s">
        <v>86</v>
      </c>
      <c r="F43" s="22" t="s">
        <v>87</v>
      </c>
      <c r="G43" s="23">
        <f t="shared" si="0"/>
        <v>2810.527</v>
      </c>
      <c r="H43" s="27">
        <f>J28</f>
        <v>1307.7360000000001</v>
      </c>
      <c r="I43" s="27"/>
      <c r="J43" s="27">
        <f>K30</f>
        <v>1502.7910000000002</v>
      </c>
      <c r="K43" s="27"/>
      <c r="L43" s="19"/>
      <c r="M43" s="24"/>
      <c r="P43" s="25">
        <v>150</v>
      </c>
    </row>
    <row r="44" spans="3:16" s="17" customFormat="1" ht="12.75" x14ac:dyDescent="0.2">
      <c r="C44" s="18"/>
      <c r="D44" s="20" t="s">
        <v>88</v>
      </c>
      <c r="E44" s="21" t="s">
        <v>89</v>
      </c>
      <c r="F44" s="22" t="s">
        <v>90</v>
      </c>
      <c r="G44" s="23">
        <f t="shared" si="0"/>
        <v>0</v>
      </c>
      <c r="H44" s="27"/>
      <c r="I44" s="27"/>
      <c r="J44" s="27"/>
      <c r="K44" s="27"/>
      <c r="L44" s="19"/>
      <c r="M44" s="24"/>
      <c r="P44" s="25">
        <v>160</v>
      </c>
    </row>
    <row r="45" spans="3:16" s="17" customFormat="1" ht="12.75" x14ac:dyDescent="0.2">
      <c r="C45" s="18"/>
      <c r="D45" s="20" t="s">
        <v>91</v>
      </c>
      <c r="E45" s="21" t="s">
        <v>92</v>
      </c>
      <c r="F45" s="22" t="s">
        <v>93</v>
      </c>
      <c r="G45" s="23">
        <f t="shared" si="0"/>
        <v>0</v>
      </c>
      <c r="H45" s="27"/>
      <c r="I45" s="27"/>
      <c r="J45" s="27"/>
      <c r="K45" s="27"/>
      <c r="L45" s="19"/>
      <c r="M45" s="24"/>
      <c r="P45" s="25">
        <v>180</v>
      </c>
    </row>
    <row r="46" spans="3:16" s="17" customFormat="1" ht="12.75" x14ac:dyDescent="0.2">
      <c r="C46" s="18"/>
      <c r="D46" s="20" t="s">
        <v>94</v>
      </c>
      <c r="E46" s="21" t="s">
        <v>95</v>
      </c>
      <c r="F46" s="22" t="s">
        <v>96</v>
      </c>
      <c r="G46" s="23">
        <f t="shared" si="0"/>
        <v>-57.064</v>
      </c>
      <c r="H46" s="27"/>
      <c r="I46" s="27"/>
      <c r="J46" s="27"/>
      <c r="K46" s="27">
        <v>-57.064</v>
      </c>
      <c r="L46" s="19"/>
      <c r="M46" s="24"/>
      <c r="P46" s="25">
        <v>190</v>
      </c>
    </row>
    <row r="47" spans="3:16" s="17" customFormat="1" ht="12.75" x14ac:dyDescent="0.2">
      <c r="C47" s="18"/>
      <c r="D47" s="20" t="s">
        <v>97</v>
      </c>
      <c r="E47" s="26" t="s">
        <v>98</v>
      </c>
      <c r="F47" s="22" t="s">
        <v>99</v>
      </c>
      <c r="G47" s="23">
        <f t="shared" si="0"/>
        <v>0</v>
      </c>
      <c r="H47" s="27"/>
      <c r="I47" s="27"/>
      <c r="J47" s="27">
        <v>0</v>
      </c>
      <c r="K47" s="27">
        <v>0</v>
      </c>
      <c r="L47" s="19"/>
      <c r="M47" s="24"/>
      <c r="P47" s="25">
        <v>200</v>
      </c>
    </row>
    <row r="48" spans="3:16" s="17" customFormat="1" ht="12.75" x14ac:dyDescent="0.2">
      <c r="C48" s="18"/>
      <c r="D48" s="20" t="s">
        <v>100</v>
      </c>
      <c r="E48" s="21" t="s">
        <v>101</v>
      </c>
      <c r="F48" s="22" t="s">
        <v>102</v>
      </c>
      <c r="G48" s="23">
        <f t="shared" si="0"/>
        <v>53.900000000000006</v>
      </c>
      <c r="H48" s="27"/>
      <c r="I48" s="27"/>
      <c r="J48" s="27"/>
      <c r="K48" s="27">
        <f>0.0539*1000</f>
        <v>53.900000000000006</v>
      </c>
      <c r="L48" s="19"/>
      <c r="M48" s="24"/>
      <c r="P48" s="36"/>
    </row>
    <row r="49" spans="3:16" s="17" customFormat="1" ht="22.5" x14ac:dyDescent="0.2">
      <c r="C49" s="18"/>
      <c r="D49" s="20" t="s">
        <v>103</v>
      </c>
      <c r="E49" s="46" t="s">
        <v>104</v>
      </c>
      <c r="F49" s="22" t="s">
        <v>105</v>
      </c>
      <c r="G49" s="23">
        <f t="shared" si="0"/>
        <v>-110.964</v>
      </c>
      <c r="H49" s="23">
        <f>H46-H48</f>
        <v>0</v>
      </c>
      <c r="I49" s="23">
        <f>I46-I48</f>
        <v>0</v>
      </c>
      <c r="J49" s="23">
        <f>J46-J48</f>
        <v>0</v>
      </c>
      <c r="K49" s="23">
        <f>K46-K48</f>
        <v>-110.964</v>
      </c>
      <c r="L49" s="19"/>
      <c r="M49" s="24"/>
      <c r="P49" s="36"/>
    </row>
    <row r="50" spans="3:16" s="17" customFormat="1" ht="12.75" x14ac:dyDescent="0.2">
      <c r="C50" s="18"/>
      <c r="D50" s="20" t="s">
        <v>106</v>
      </c>
      <c r="E50" s="21" t="s">
        <v>107</v>
      </c>
      <c r="F50" s="22" t="s">
        <v>108</v>
      </c>
      <c r="G50" s="23">
        <f t="shared" si="0"/>
        <v>0</v>
      </c>
      <c r="H50" s="23">
        <f>(H15+H27+H32)-(H33+H43+H44+H45+H46)</f>
        <v>0</v>
      </c>
      <c r="I50" s="23">
        <f>(I15+I27+I32)-(I33+I43+I44+I45+I46)</f>
        <v>0</v>
      </c>
      <c r="J50" s="23">
        <f>(J15+J27+J32)-(J33+J43+J44+J45+J46)</f>
        <v>0</v>
      </c>
      <c r="K50" s="23">
        <f>(K15+K27+K32)-(K33+K43+K44+K45+K46)</f>
        <v>0</v>
      </c>
      <c r="L50" s="19"/>
      <c r="M50" s="24"/>
      <c r="P50" s="25">
        <v>210</v>
      </c>
    </row>
    <row r="51" spans="3:16" s="17" customFormat="1" ht="12.75" x14ac:dyDescent="0.2">
      <c r="C51" s="18"/>
      <c r="D51" s="87" t="s">
        <v>109</v>
      </c>
      <c r="E51" s="88"/>
      <c r="F51" s="88"/>
      <c r="G51" s="88"/>
      <c r="H51" s="88"/>
      <c r="I51" s="88"/>
      <c r="J51" s="88"/>
      <c r="K51" s="89"/>
      <c r="L51" s="19"/>
      <c r="M51" s="24"/>
      <c r="P51" s="36"/>
    </row>
    <row r="52" spans="3:16" s="17" customFormat="1" ht="12.75" x14ac:dyDescent="0.2">
      <c r="C52" s="18"/>
      <c r="D52" s="20" t="s">
        <v>110</v>
      </c>
      <c r="E52" s="21" t="s">
        <v>24</v>
      </c>
      <c r="F52" s="22" t="s">
        <v>111</v>
      </c>
      <c r="G52" s="23">
        <f t="shared" si="0"/>
        <v>4.4812000000000003</v>
      </c>
      <c r="H52" s="23">
        <f>H53+H54+H57+H60</f>
        <v>1.075488</v>
      </c>
      <c r="I52" s="23">
        <f>I53+I54+I57+I60</f>
        <v>0</v>
      </c>
      <c r="J52" s="23">
        <f>J53+J54+J57+J60</f>
        <v>3.4057120000000003</v>
      </c>
      <c r="K52" s="23">
        <f>K53+K54+K57+K60</f>
        <v>0</v>
      </c>
      <c r="L52" s="19"/>
      <c r="M52" s="24"/>
      <c r="P52" s="25">
        <v>300</v>
      </c>
    </row>
    <row r="53" spans="3:16" s="17" customFormat="1" ht="12.75" x14ac:dyDescent="0.2">
      <c r="C53" s="18"/>
      <c r="D53" s="20" t="s">
        <v>112</v>
      </c>
      <c r="E53" s="26" t="s">
        <v>26</v>
      </c>
      <c r="F53" s="22" t="s">
        <v>113</v>
      </c>
      <c r="G53" s="23">
        <f t="shared" si="0"/>
        <v>0</v>
      </c>
      <c r="H53" s="27"/>
      <c r="I53" s="27"/>
      <c r="J53" s="27"/>
      <c r="K53" s="27"/>
      <c r="L53" s="19"/>
      <c r="M53" s="24"/>
      <c r="P53" s="25">
        <v>310</v>
      </c>
    </row>
    <row r="54" spans="3:16" s="17" customFormat="1" ht="12.75" x14ac:dyDescent="0.2">
      <c r="C54" s="18"/>
      <c r="D54" s="20" t="s">
        <v>114</v>
      </c>
      <c r="E54" s="26" t="s">
        <v>28</v>
      </c>
      <c r="F54" s="22" t="s">
        <v>115</v>
      </c>
      <c r="G54" s="23">
        <f t="shared" si="0"/>
        <v>0</v>
      </c>
      <c r="H54" s="23">
        <f>SUM(H55:H56)</f>
        <v>0</v>
      </c>
      <c r="I54" s="23">
        <f>SUM(I55:I56)</f>
        <v>0</v>
      </c>
      <c r="J54" s="23">
        <f>SUM(J55:J56)</f>
        <v>0</v>
      </c>
      <c r="K54" s="23">
        <f>SUM(K55:K56)</f>
        <v>0</v>
      </c>
      <c r="L54" s="19"/>
      <c r="M54" s="24"/>
      <c r="P54" s="25">
        <v>320</v>
      </c>
    </row>
    <row r="55" spans="3:16" s="17" customFormat="1" ht="12.75" x14ac:dyDescent="0.2">
      <c r="C55" s="18"/>
      <c r="D55" s="28" t="s">
        <v>116</v>
      </c>
      <c r="E55" s="29"/>
      <c r="F55" s="30" t="s">
        <v>115</v>
      </c>
      <c r="G55" s="31"/>
      <c r="H55" s="31"/>
      <c r="I55" s="31"/>
      <c r="J55" s="31"/>
      <c r="K55" s="31"/>
      <c r="L55" s="19"/>
      <c r="M55" s="24"/>
      <c r="P55" s="25"/>
    </row>
    <row r="56" spans="3:16" s="17" customFormat="1" ht="12.75" x14ac:dyDescent="0.2">
      <c r="C56" s="18"/>
      <c r="D56" s="32"/>
      <c r="E56" s="33" t="s">
        <v>31</v>
      </c>
      <c r="F56" s="34"/>
      <c r="G56" s="34"/>
      <c r="H56" s="34"/>
      <c r="I56" s="34"/>
      <c r="J56" s="34"/>
      <c r="K56" s="35"/>
      <c r="L56" s="19"/>
      <c r="M56" s="24"/>
      <c r="P56" s="25"/>
    </row>
    <row r="57" spans="3:16" s="17" customFormat="1" ht="12.75" x14ac:dyDescent="0.2">
      <c r="C57" s="18"/>
      <c r="D57" s="20" t="s">
        <v>117</v>
      </c>
      <c r="E57" s="26" t="s">
        <v>33</v>
      </c>
      <c r="F57" s="22" t="s">
        <v>118</v>
      </c>
      <c r="G57" s="23">
        <f t="shared" si="0"/>
        <v>0</v>
      </c>
      <c r="H57" s="23">
        <f>SUM(H58:H59)</f>
        <v>0</v>
      </c>
      <c r="I57" s="23">
        <f>SUM(I58:I59)</f>
        <v>0</v>
      </c>
      <c r="J57" s="23">
        <f>SUM(J58:J59)</f>
        <v>0</v>
      </c>
      <c r="K57" s="23">
        <f>SUM(K58:K59)</f>
        <v>0</v>
      </c>
      <c r="L57" s="19"/>
      <c r="M57" s="24"/>
      <c r="P57" s="25"/>
    </row>
    <row r="58" spans="3:16" s="17" customFormat="1" ht="12.75" x14ac:dyDescent="0.2">
      <c r="C58" s="18"/>
      <c r="D58" s="28" t="s">
        <v>119</v>
      </c>
      <c r="E58" s="29"/>
      <c r="F58" s="30" t="s">
        <v>118</v>
      </c>
      <c r="G58" s="31"/>
      <c r="H58" s="31"/>
      <c r="I58" s="31"/>
      <c r="J58" s="31"/>
      <c r="K58" s="31"/>
      <c r="L58" s="19"/>
      <c r="M58" s="24"/>
      <c r="P58" s="25"/>
    </row>
    <row r="59" spans="3:16" s="17" customFormat="1" ht="12.75" x14ac:dyDescent="0.2">
      <c r="C59" s="18"/>
      <c r="D59" s="32"/>
      <c r="E59" s="33" t="s">
        <v>31</v>
      </c>
      <c r="F59" s="34"/>
      <c r="G59" s="34"/>
      <c r="H59" s="34"/>
      <c r="I59" s="34"/>
      <c r="J59" s="34"/>
      <c r="K59" s="35"/>
      <c r="L59" s="19"/>
      <c r="M59" s="24"/>
      <c r="P59" s="25"/>
    </row>
    <row r="60" spans="3:16" s="17" customFormat="1" ht="12.75" x14ac:dyDescent="0.2">
      <c r="C60" s="18"/>
      <c r="D60" s="20" t="s">
        <v>120</v>
      </c>
      <c r="E60" s="26" t="s">
        <v>37</v>
      </c>
      <c r="F60" s="22" t="s">
        <v>121</v>
      </c>
      <c r="G60" s="23">
        <f t="shared" si="0"/>
        <v>4.4812000000000003</v>
      </c>
      <c r="H60" s="23">
        <f>SUM(H61:H63)</f>
        <v>1.075488</v>
      </c>
      <c r="I60" s="23">
        <f>SUM(I61:I63)</f>
        <v>0</v>
      </c>
      <c r="J60" s="23">
        <f>SUM(J61:J63)</f>
        <v>3.4057120000000003</v>
      </c>
      <c r="K60" s="23">
        <f>SUM(K61:K63)</f>
        <v>0</v>
      </c>
      <c r="L60" s="19"/>
      <c r="M60" s="24"/>
      <c r="P60" s="25">
        <v>330</v>
      </c>
    </row>
    <row r="61" spans="3:16" s="17" customFormat="1" ht="12.75" x14ac:dyDescent="0.2">
      <c r="C61" s="18"/>
      <c r="D61" s="28" t="s">
        <v>122</v>
      </c>
      <c r="E61" s="29"/>
      <c r="F61" s="30" t="s">
        <v>121</v>
      </c>
      <c r="G61" s="31"/>
      <c r="H61" s="31"/>
      <c r="I61" s="31"/>
      <c r="J61" s="31"/>
      <c r="K61" s="31"/>
      <c r="L61" s="19"/>
      <c r="M61" s="24"/>
      <c r="P61" s="25"/>
    </row>
    <row r="62" spans="3:16" s="17" customFormat="1" ht="15" x14ac:dyDescent="0.25">
      <c r="C62" s="37" t="s">
        <v>40</v>
      </c>
      <c r="D62" s="38" t="s">
        <v>123</v>
      </c>
      <c r="E62" s="39" t="s">
        <v>42</v>
      </c>
      <c r="F62" s="40">
        <v>1461</v>
      </c>
      <c r="G62" s="41">
        <f>SUM(H62:K62)</f>
        <v>4.4812000000000003</v>
      </c>
      <c r="H62" s="52">
        <f>4.4812*0.24</f>
        <v>1.075488</v>
      </c>
      <c r="I62" s="52">
        <v>0</v>
      </c>
      <c r="J62" s="52">
        <f>4.4812-H62</f>
        <v>3.4057120000000003</v>
      </c>
      <c r="K62" s="53">
        <v>0</v>
      </c>
      <c r="L62" s="19"/>
      <c r="M62" s="43" t="s">
        <v>43</v>
      </c>
      <c r="N62" s="44" t="s">
        <v>44</v>
      </c>
      <c r="O62" s="44" t="s">
        <v>45</v>
      </c>
    </row>
    <row r="63" spans="3:16" s="17" customFormat="1" ht="12.75" x14ac:dyDescent="0.2">
      <c r="C63" s="18"/>
      <c r="D63" s="32"/>
      <c r="E63" s="33" t="s">
        <v>31</v>
      </c>
      <c r="F63" s="34"/>
      <c r="G63" s="34"/>
      <c r="H63" s="34"/>
      <c r="I63" s="34"/>
      <c r="J63" s="34"/>
      <c r="K63" s="35"/>
      <c r="L63" s="19"/>
      <c r="M63" s="24"/>
      <c r="P63" s="25"/>
    </row>
    <row r="64" spans="3:16" s="17" customFormat="1" ht="12.75" x14ac:dyDescent="0.2">
      <c r="C64" s="18"/>
      <c r="D64" s="20" t="s">
        <v>124</v>
      </c>
      <c r="E64" s="21" t="s">
        <v>47</v>
      </c>
      <c r="F64" s="22" t="s">
        <v>125</v>
      </c>
      <c r="G64" s="23">
        <f t="shared" si="0"/>
        <v>4.5257440000000004</v>
      </c>
      <c r="H64" s="23">
        <f>H66+H67+H68</f>
        <v>0</v>
      </c>
      <c r="I64" s="23">
        <f>I65+I67+I68</f>
        <v>0</v>
      </c>
      <c r="J64" s="23">
        <f>J65+J66+J68</f>
        <v>1.075488</v>
      </c>
      <c r="K64" s="23">
        <f>K65+K66+K67</f>
        <v>3.4502560000000004</v>
      </c>
      <c r="L64" s="19"/>
      <c r="M64" s="24"/>
      <c r="P64" s="25">
        <v>340</v>
      </c>
    </row>
    <row r="65" spans="3:16" s="17" customFormat="1" ht="12.75" x14ac:dyDescent="0.2">
      <c r="C65" s="18"/>
      <c r="D65" s="20" t="s">
        <v>126</v>
      </c>
      <c r="E65" s="26" t="s">
        <v>18</v>
      </c>
      <c r="F65" s="22" t="s">
        <v>127</v>
      </c>
      <c r="G65" s="23">
        <f t="shared" si="0"/>
        <v>1.075488</v>
      </c>
      <c r="H65" s="45"/>
      <c r="I65" s="27"/>
      <c r="J65" s="27">
        <f>H62</f>
        <v>1.075488</v>
      </c>
      <c r="K65" s="27"/>
      <c r="L65" s="19"/>
      <c r="M65" s="24"/>
      <c r="P65" s="25">
        <v>350</v>
      </c>
    </row>
    <row r="66" spans="3:16" s="17" customFormat="1" ht="12.75" x14ac:dyDescent="0.2">
      <c r="C66" s="18"/>
      <c r="D66" s="20" t="s">
        <v>128</v>
      </c>
      <c r="E66" s="26" t="s">
        <v>19</v>
      </c>
      <c r="F66" s="22" t="s">
        <v>129</v>
      </c>
      <c r="G66" s="23">
        <f t="shared" si="0"/>
        <v>0</v>
      </c>
      <c r="H66" s="27"/>
      <c r="I66" s="54"/>
      <c r="J66" s="27"/>
      <c r="K66" s="27"/>
      <c r="L66" s="19"/>
      <c r="M66" s="24"/>
      <c r="P66" s="25">
        <v>360</v>
      </c>
    </row>
    <row r="67" spans="3:16" s="17" customFormat="1" ht="12.75" x14ac:dyDescent="0.2">
      <c r="C67" s="18"/>
      <c r="D67" s="20" t="s">
        <v>130</v>
      </c>
      <c r="E67" s="26" t="s">
        <v>20</v>
      </c>
      <c r="F67" s="22" t="s">
        <v>131</v>
      </c>
      <c r="G67" s="23">
        <f t="shared" si="0"/>
        <v>3.4502560000000004</v>
      </c>
      <c r="H67" s="27"/>
      <c r="I67" s="27"/>
      <c r="J67" s="45"/>
      <c r="K67" s="27">
        <f>K73+K83</f>
        <v>3.4502560000000004</v>
      </c>
      <c r="L67" s="19"/>
      <c r="M67" s="24"/>
      <c r="P67" s="25">
        <v>370</v>
      </c>
    </row>
    <row r="68" spans="3:16" s="17" customFormat="1" ht="12.75" x14ac:dyDescent="0.2">
      <c r="C68" s="18"/>
      <c r="D68" s="20" t="s">
        <v>132</v>
      </c>
      <c r="E68" s="26" t="s">
        <v>56</v>
      </c>
      <c r="F68" s="22" t="s">
        <v>133</v>
      </c>
      <c r="G68" s="23">
        <f t="shared" si="0"/>
        <v>0</v>
      </c>
      <c r="H68" s="27"/>
      <c r="I68" s="27"/>
      <c r="J68" s="27"/>
      <c r="K68" s="45"/>
      <c r="L68" s="19"/>
      <c r="M68" s="24"/>
      <c r="P68" s="25">
        <v>380</v>
      </c>
    </row>
    <row r="69" spans="3:16" s="17" customFormat="1" ht="12.75" x14ac:dyDescent="0.2">
      <c r="C69" s="18"/>
      <c r="D69" s="20" t="s">
        <v>134</v>
      </c>
      <c r="E69" s="46" t="s">
        <v>59</v>
      </c>
      <c r="F69" s="22" t="s">
        <v>135</v>
      </c>
      <c r="G69" s="23">
        <f t="shared" si="0"/>
        <v>0</v>
      </c>
      <c r="H69" s="27"/>
      <c r="I69" s="27"/>
      <c r="J69" s="27"/>
      <c r="K69" s="27"/>
      <c r="L69" s="19"/>
      <c r="M69" s="24"/>
      <c r="P69" s="25"/>
    </row>
    <row r="70" spans="3:16" s="17" customFormat="1" ht="12.75" x14ac:dyDescent="0.2">
      <c r="C70" s="18"/>
      <c r="D70" s="20" t="s">
        <v>136</v>
      </c>
      <c r="E70" s="21" t="s">
        <v>62</v>
      </c>
      <c r="F70" s="47" t="s">
        <v>137</v>
      </c>
      <c r="G70" s="23">
        <f t="shared" si="0"/>
        <v>4.2956000000000003</v>
      </c>
      <c r="H70" s="23">
        <f>H71+H73+H76+H79</f>
        <v>0</v>
      </c>
      <c r="I70" s="23">
        <f>I71+I73+I76+I79</f>
        <v>0</v>
      </c>
      <c r="J70" s="23">
        <f>J71+J73+J76+J79</f>
        <v>1.0309440000000001</v>
      </c>
      <c r="K70" s="23">
        <f>K71+K73+K76+K79</f>
        <v>3.2646560000000004</v>
      </c>
      <c r="L70" s="19"/>
      <c r="M70" s="24"/>
      <c r="P70" s="25">
        <v>390</v>
      </c>
    </row>
    <row r="71" spans="3:16" s="17" customFormat="1" ht="22.5" x14ac:dyDescent="0.2">
      <c r="C71" s="18"/>
      <c r="D71" s="20" t="s">
        <v>138</v>
      </c>
      <c r="E71" s="26" t="s">
        <v>65</v>
      </c>
      <c r="F71" s="22" t="s">
        <v>139</v>
      </c>
      <c r="G71" s="23">
        <f t="shared" si="0"/>
        <v>0</v>
      </c>
      <c r="H71" s="27"/>
      <c r="I71" s="27"/>
      <c r="J71" s="27"/>
      <c r="K71" s="27"/>
      <c r="L71" s="19"/>
      <c r="M71" s="24"/>
      <c r="P71" s="25"/>
    </row>
    <row r="72" spans="3:16" s="17" customFormat="1" ht="12.75" x14ac:dyDescent="0.2">
      <c r="C72" s="18"/>
      <c r="D72" s="20" t="s">
        <v>140</v>
      </c>
      <c r="E72" s="48" t="s">
        <v>68</v>
      </c>
      <c r="F72" s="22" t="s">
        <v>141</v>
      </c>
      <c r="G72" s="23">
        <f t="shared" si="0"/>
        <v>0</v>
      </c>
      <c r="H72" s="27"/>
      <c r="I72" s="27"/>
      <c r="J72" s="27"/>
      <c r="K72" s="27"/>
      <c r="L72" s="19"/>
      <c r="M72" s="24"/>
      <c r="P72" s="25"/>
    </row>
    <row r="73" spans="3:16" s="17" customFormat="1" ht="12.75" x14ac:dyDescent="0.2">
      <c r="C73" s="18"/>
      <c r="D73" s="20" t="s">
        <v>142</v>
      </c>
      <c r="E73" s="26" t="s">
        <v>71</v>
      </c>
      <c r="F73" s="22" t="s">
        <v>143</v>
      </c>
      <c r="G73" s="23">
        <f t="shared" si="0"/>
        <v>4.2956000000000003</v>
      </c>
      <c r="H73" s="27">
        <v>0</v>
      </c>
      <c r="I73" s="27">
        <v>0</v>
      </c>
      <c r="J73" s="27">
        <f>4.2956*0.24</f>
        <v>1.0309440000000001</v>
      </c>
      <c r="K73" s="27">
        <f>4.2956-J73</f>
        <v>3.2646560000000004</v>
      </c>
      <c r="L73" s="19"/>
      <c r="M73" s="24"/>
      <c r="P73" s="25"/>
    </row>
    <row r="74" spans="3:16" s="17" customFormat="1" ht="12.75" x14ac:dyDescent="0.2">
      <c r="C74" s="18"/>
      <c r="D74" s="20" t="s">
        <v>144</v>
      </c>
      <c r="E74" s="48" t="s">
        <v>74</v>
      </c>
      <c r="F74" s="22" t="s">
        <v>145</v>
      </c>
      <c r="G74" s="23">
        <f t="shared" si="0"/>
        <v>0</v>
      </c>
      <c r="H74" s="27"/>
      <c r="I74" s="27"/>
      <c r="J74" s="27"/>
      <c r="K74" s="27"/>
      <c r="L74" s="19"/>
      <c r="M74" s="24"/>
      <c r="P74" s="25"/>
    </row>
    <row r="75" spans="3:16" s="17" customFormat="1" ht="12.75" x14ac:dyDescent="0.2">
      <c r="C75" s="18"/>
      <c r="D75" s="20" t="s">
        <v>146</v>
      </c>
      <c r="E75" s="49" t="s">
        <v>68</v>
      </c>
      <c r="F75" s="22" t="s">
        <v>147</v>
      </c>
      <c r="G75" s="23">
        <f t="shared" si="0"/>
        <v>0</v>
      </c>
      <c r="H75" s="27"/>
      <c r="I75" s="27"/>
      <c r="J75" s="27"/>
      <c r="K75" s="27"/>
      <c r="L75" s="19"/>
      <c r="M75" s="24"/>
      <c r="P75" s="25"/>
    </row>
    <row r="76" spans="3:16" s="17" customFormat="1" ht="12.75" x14ac:dyDescent="0.2">
      <c r="C76" s="18"/>
      <c r="D76" s="20" t="s">
        <v>148</v>
      </c>
      <c r="E76" s="26" t="s">
        <v>79</v>
      </c>
      <c r="F76" s="22" t="s">
        <v>149</v>
      </c>
      <c r="G76" s="23">
        <f t="shared" si="0"/>
        <v>0</v>
      </c>
      <c r="H76" s="23">
        <f>SUM(H77:H78)</f>
        <v>0</v>
      </c>
      <c r="I76" s="23">
        <f>SUM(I77:I78)</f>
        <v>0</v>
      </c>
      <c r="J76" s="23">
        <f>SUM(J77:J78)</f>
        <v>0</v>
      </c>
      <c r="K76" s="23">
        <f>SUM(K77:K78)</f>
        <v>0</v>
      </c>
      <c r="L76" s="19"/>
      <c r="M76" s="24"/>
      <c r="P76" s="25"/>
    </row>
    <row r="77" spans="3:16" s="17" customFormat="1" ht="12.75" x14ac:dyDescent="0.2">
      <c r="C77" s="18"/>
      <c r="D77" s="28" t="s">
        <v>150</v>
      </c>
      <c r="E77" s="29"/>
      <c r="F77" s="30" t="s">
        <v>149</v>
      </c>
      <c r="G77" s="31"/>
      <c r="H77" s="31"/>
      <c r="I77" s="31"/>
      <c r="J77" s="31"/>
      <c r="K77" s="31"/>
      <c r="L77" s="19"/>
      <c r="M77" s="24"/>
      <c r="P77" s="25"/>
    </row>
    <row r="78" spans="3:16" s="17" customFormat="1" ht="12.75" x14ac:dyDescent="0.2">
      <c r="C78" s="18"/>
      <c r="D78" s="32"/>
      <c r="E78" s="33" t="s">
        <v>31</v>
      </c>
      <c r="F78" s="34"/>
      <c r="G78" s="34"/>
      <c r="H78" s="34"/>
      <c r="I78" s="34"/>
      <c r="J78" s="34"/>
      <c r="K78" s="35"/>
      <c r="L78" s="19"/>
      <c r="M78" s="24"/>
      <c r="P78" s="25"/>
    </row>
    <row r="79" spans="3:16" s="17" customFormat="1" ht="12.75" x14ac:dyDescent="0.2">
      <c r="C79" s="18"/>
      <c r="D79" s="20" t="s">
        <v>151</v>
      </c>
      <c r="E79" s="51" t="s">
        <v>83</v>
      </c>
      <c r="F79" s="22" t="s">
        <v>152</v>
      </c>
      <c r="G79" s="23">
        <f t="shared" si="0"/>
        <v>0</v>
      </c>
      <c r="H79" s="27"/>
      <c r="I79" s="27"/>
      <c r="J79" s="27"/>
      <c r="K79" s="27"/>
      <c r="L79" s="19"/>
      <c r="M79" s="24"/>
      <c r="P79" s="25">
        <v>410</v>
      </c>
    </row>
    <row r="80" spans="3:16" s="17" customFormat="1" ht="12.75" x14ac:dyDescent="0.2">
      <c r="C80" s="18"/>
      <c r="D80" s="20" t="s">
        <v>153</v>
      </c>
      <c r="E80" s="21" t="s">
        <v>86</v>
      </c>
      <c r="F80" s="22" t="s">
        <v>154</v>
      </c>
      <c r="G80" s="23">
        <f t="shared" si="0"/>
        <v>4.5257440000000004</v>
      </c>
      <c r="H80" s="27">
        <f>H62</f>
        <v>1.075488</v>
      </c>
      <c r="I80" s="27"/>
      <c r="J80" s="27">
        <f>K67</f>
        <v>3.4502560000000004</v>
      </c>
      <c r="K80" s="27"/>
      <c r="L80" s="19"/>
      <c r="M80" s="24"/>
      <c r="P80" s="25">
        <v>440</v>
      </c>
    </row>
    <row r="81" spans="3:16" s="17" customFormat="1" ht="12.75" x14ac:dyDescent="0.2">
      <c r="C81" s="18"/>
      <c r="D81" s="20" t="s">
        <v>155</v>
      </c>
      <c r="E81" s="21" t="s">
        <v>89</v>
      </c>
      <c r="F81" s="22" t="s">
        <v>156</v>
      </c>
      <c r="G81" s="23">
        <f t="shared" si="0"/>
        <v>0</v>
      </c>
      <c r="H81" s="27"/>
      <c r="I81" s="27"/>
      <c r="J81" s="27"/>
      <c r="K81" s="27"/>
      <c r="L81" s="19"/>
      <c r="M81" s="24"/>
      <c r="P81" s="25">
        <v>450</v>
      </c>
    </row>
    <row r="82" spans="3:16" s="17" customFormat="1" ht="12.75" x14ac:dyDescent="0.2">
      <c r="C82" s="18"/>
      <c r="D82" s="20" t="s">
        <v>157</v>
      </c>
      <c r="E82" s="21" t="s">
        <v>92</v>
      </c>
      <c r="F82" s="22" t="s">
        <v>158</v>
      </c>
      <c r="G82" s="23">
        <f t="shared" si="0"/>
        <v>0</v>
      </c>
      <c r="H82" s="27"/>
      <c r="I82" s="27"/>
      <c r="J82" s="27"/>
      <c r="K82" s="27"/>
      <c r="L82" s="19"/>
      <c r="M82" s="24"/>
      <c r="P82" s="25">
        <v>470</v>
      </c>
    </row>
    <row r="83" spans="3:16" s="17" customFormat="1" ht="12.75" x14ac:dyDescent="0.2">
      <c r="C83" s="18"/>
      <c r="D83" s="20" t="s">
        <v>159</v>
      </c>
      <c r="E83" s="21" t="s">
        <v>95</v>
      </c>
      <c r="F83" s="22" t="s">
        <v>160</v>
      </c>
      <c r="G83" s="23">
        <f t="shared" si="0"/>
        <v>0.18559999999999999</v>
      </c>
      <c r="H83" s="27"/>
      <c r="I83" s="27"/>
      <c r="J83" s="27"/>
      <c r="K83" s="27">
        <f>G62-G73</f>
        <v>0.18559999999999999</v>
      </c>
      <c r="L83" s="19"/>
      <c r="M83" s="24"/>
      <c r="P83" s="25">
        <v>480</v>
      </c>
    </row>
    <row r="84" spans="3:16" s="17" customFormat="1" ht="12.75" x14ac:dyDescent="0.2">
      <c r="C84" s="18"/>
      <c r="D84" s="20" t="s">
        <v>161</v>
      </c>
      <c r="E84" s="26" t="s">
        <v>162</v>
      </c>
      <c r="F84" s="22" t="s">
        <v>163</v>
      </c>
      <c r="G84" s="23">
        <f t="shared" si="0"/>
        <v>0</v>
      </c>
      <c r="H84" s="27"/>
      <c r="I84" s="27"/>
      <c r="J84" s="27"/>
      <c r="K84" s="27"/>
      <c r="L84" s="19"/>
      <c r="M84" s="24"/>
      <c r="P84" s="25">
        <v>490</v>
      </c>
    </row>
    <row r="85" spans="3:16" s="17" customFormat="1" ht="12.75" x14ac:dyDescent="0.2">
      <c r="C85" s="18"/>
      <c r="D85" s="20" t="s">
        <v>164</v>
      </c>
      <c r="E85" s="21" t="s">
        <v>101</v>
      </c>
      <c r="F85" s="22" t="s">
        <v>165</v>
      </c>
      <c r="G85" s="23">
        <f t="shared" si="0"/>
        <v>0.13719999999999999</v>
      </c>
      <c r="H85" s="27"/>
      <c r="I85" s="27"/>
      <c r="J85" s="27"/>
      <c r="K85" s="27">
        <v>0.13719999999999999</v>
      </c>
      <c r="L85" s="19"/>
      <c r="M85" s="24"/>
      <c r="P85" s="25"/>
    </row>
    <row r="86" spans="3:16" s="17" customFormat="1" ht="22.5" x14ac:dyDescent="0.2">
      <c r="C86" s="18"/>
      <c r="D86" s="20" t="s">
        <v>166</v>
      </c>
      <c r="E86" s="46" t="s">
        <v>104</v>
      </c>
      <c r="F86" s="22" t="s">
        <v>167</v>
      </c>
      <c r="G86" s="23">
        <f t="shared" si="0"/>
        <v>4.8399999999999999E-2</v>
      </c>
      <c r="H86" s="23">
        <f>H83-H85</f>
        <v>0</v>
      </c>
      <c r="I86" s="23">
        <f>I83-I85</f>
        <v>0</v>
      </c>
      <c r="J86" s="23">
        <f>J83-J85</f>
        <v>0</v>
      </c>
      <c r="K86" s="23">
        <f>K83-K85</f>
        <v>4.8399999999999999E-2</v>
      </c>
      <c r="L86" s="19"/>
      <c r="M86" s="24"/>
      <c r="P86" s="25"/>
    </row>
    <row r="87" spans="3:16" s="17" customFormat="1" ht="12.75" x14ac:dyDescent="0.2">
      <c r="C87" s="18"/>
      <c r="D87" s="20" t="s">
        <v>168</v>
      </c>
      <c r="E87" s="21" t="s">
        <v>107</v>
      </c>
      <c r="F87" s="22" t="s">
        <v>169</v>
      </c>
      <c r="G87" s="23">
        <f t="shared" si="0"/>
        <v>0</v>
      </c>
      <c r="H87" s="23">
        <f>(H52+H64+H69)-(H70+H80+H81+H82+H83)</f>
        <v>0</v>
      </c>
      <c r="I87" s="23">
        <f>(I52+I64+I69)-(I70+I80+I81+I82+I83)</f>
        <v>0</v>
      </c>
      <c r="J87" s="23">
        <f>(J52+J64+J69)-(J70+J80+J81+J82+J83)</f>
        <v>0</v>
      </c>
      <c r="K87" s="23">
        <f>(K52+K64+K69)-(K70+K80+K81+K82+K83)</f>
        <v>0</v>
      </c>
      <c r="L87" s="19"/>
      <c r="M87" s="24"/>
      <c r="P87" s="25">
        <v>500</v>
      </c>
    </row>
    <row r="88" spans="3:16" s="17" customFormat="1" ht="12.75" x14ac:dyDescent="0.2">
      <c r="C88" s="18"/>
      <c r="D88" s="87" t="s">
        <v>170</v>
      </c>
      <c r="E88" s="88"/>
      <c r="F88" s="88"/>
      <c r="G88" s="88"/>
      <c r="H88" s="88"/>
      <c r="I88" s="88"/>
      <c r="J88" s="88"/>
      <c r="K88" s="89"/>
      <c r="L88" s="19"/>
      <c r="M88" s="24"/>
      <c r="P88" s="36"/>
    </row>
    <row r="89" spans="3:16" s="17" customFormat="1" ht="12.75" x14ac:dyDescent="0.2">
      <c r="C89" s="18"/>
      <c r="D89" s="20" t="s">
        <v>171</v>
      </c>
      <c r="E89" s="21" t="s">
        <v>172</v>
      </c>
      <c r="F89" s="22" t="s">
        <v>173</v>
      </c>
      <c r="G89" s="23">
        <f t="shared" si="0"/>
        <v>4.2956000000000003</v>
      </c>
      <c r="H89" s="27"/>
      <c r="I89" s="27"/>
      <c r="J89" s="42">
        <f>J73</f>
        <v>1.0309440000000001</v>
      </c>
      <c r="K89" s="42">
        <f>K73</f>
        <v>3.2646560000000004</v>
      </c>
      <c r="L89" s="19"/>
      <c r="M89" s="24"/>
      <c r="P89" s="25">
        <v>600</v>
      </c>
    </row>
    <row r="90" spans="3:16" s="17" customFormat="1" ht="12.75" x14ac:dyDescent="0.2">
      <c r="C90" s="18"/>
      <c r="D90" s="20" t="s">
        <v>174</v>
      </c>
      <c r="E90" s="21" t="s">
        <v>175</v>
      </c>
      <c r="F90" s="22" t="s">
        <v>176</v>
      </c>
      <c r="G90" s="23">
        <f t="shared" si="0"/>
        <v>0</v>
      </c>
      <c r="H90" s="27"/>
      <c r="I90" s="27"/>
      <c r="J90" s="27"/>
      <c r="K90" s="27"/>
      <c r="L90" s="19"/>
      <c r="M90" s="24"/>
      <c r="P90" s="25">
        <v>610</v>
      </c>
    </row>
    <row r="91" spans="3:16" s="17" customFormat="1" ht="12.75" x14ac:dyDescent="0.2">
      <c r="C91" s="18"/>
      <c r="D91" s="20" t="s">
        <v>177</v>
      </c>
      <c r="E91" s="21" t="s">
        <v>178</v>
      </c>
      <c r="F91" s="22" t="s">
        <v>179</v>
      </c>
      <c r="G91" s="23">
        <f t="shared" si="0"/>
        <v>0</v>
      </c>
      <c r="H91" s="27"/>
      <c r="I91" s="27"/>
      <c r="J91" s="27"/>
      <c r="K91" s="27"/>
      <c r="L91" s="19"/>
      <c r="M91" s="24"/>
      <c r="P91" s="25">
        <v>620</v>
      </c>
    </row>
    <row r="92" spans="3:16" s="17" customFormat="1" ht="12.75" x14ac:dyDescent="0.2">
      <c r="C92" s="18"/>
      <c r="D92" s="87" t="s">
        <v>180</v>
      </c>
      <c r="E92" s="88"/>
      <c r="F92" s="88"/>
      <c r="G92" s="88"/>
      <c r="H92" s="88"/>
      <c r="I92" s="88"/>
      <c r="J92" s="88"/>
      <c r="K92" s="89"/>
      <c r="L92" s="19"/>
      <c r="M92" s="24"/>
      <c r="P92" s="36"/>
    </row>
    <row r="93" spans="3:16" s="17" customFormat="1" ht="12.75" x14ac:dyDescent="0.2">
      <c r="C93" s="18"/>
      <c r="D93" s="20" t="s">
        <v>181</v>
      </c>
      <c r="E93" s="21" t="s">
        <v>182</v>
      </c>
      <c r="F93" s="22" t="s">
        <v>183</v>
      </c>
      <c r="G93" s="23">
        <f t="shared" si="0"/>
        <v>0</v>
      </c>
      <c r="H93" s="23">
        <f>SUM(H94:H95)</f>
        <v>0</v>
      </c>
      <c r="I93" s="23">
        <f>SUM(I94:I95)</f>
        <v>0</v>
      </c>
      <c r="J93" s="23">
        <f>SUM(J94:J95)</f>
        <v>0</v>
      </c>
      <c r="K93" s="23">
        <f>SUM(K94:K95)</f>
        <v>0</v>
      </c>
      <c r="L93" s="19"/>
      <c r="M93" s="24"/>
      <c r="P93" s="25">
        <v>700</v>
      </c>
    </row>
    <row r="94" spans="3:16" ht="12.75" x14ac:dyDescent="0.2">
      <c r="C94" s="6"/>
      <c r="D94" s="55" t="s">
        <v>184</v>
      </c>
      <c r="E94" s="26" t="s">
        <v>185</v>
      </c>
      <c r="F94" s="22" t="s">
        <v>186</v>
      </c>
      <c r="G94" s="23">
        <f t="shared" si="0"/>
        <v>0</v>
      </c>
      <c r="H94" s="56"/>
      <c r="I94" s="56"/>
      <c r="J94" s="56"/>
      <c r="K94" s="56"/>
      <c r="L94" s="13"/>
      <c r="M94" s="24"/>
      <c r="P94" s="25">
        <v>710</v>
      </c>
    </row>
    <row r="95" spans="3:16" ht="12.75" x14ac:dyDescent="0.2">
      <c r="C95" s="6"/>
      <c r="D95" s="55" t="s">
        <v>187</v>
      </c>
      <c r="E95" s="26" t="s">
        <v>188</v>
      </c>
      <c r="F95" s="22" t="s">
        <v>189</v>
      </c>
      <c r="G95" s="23">
        <f t="shared" si="0"/>
        <v>0</v>
      </c>
      <c r="H95" s="57">
        <f>H98</f>
        <v>0</v>
      </c>
      <c r="I95" s="57">
        <f>I98</f>
        <v>0</v>
      </c>
      <c r="J95" s="57">
        <f>J98</f>
        <v>0</v>
      </c>
      <c r="K95" s="57">
        <f>K98</f>
        <v>0</v>
      </c>
      <c r="L95" s="13"/>
      <c r="M95" s="24"/>
      <c r="P95" s="25">
        <v>720</v>
      </c>
    </row>
    <row r="96" spans="3:16" ht="12.75" x14ac:dyDescent="0.2">
      <c r="C96" s="6"/>
      <c r="D96" s="55" t="s">
        <v>190</v>
      </c>
      <c r="E96" s="48" t="s">
        <v>191</v>
      </c>
      <c r="F96" s="22" t="s">
        <v>192</v>
      </c>
      <c r="G96" s="23">
        <f t="shared" si="0"/>
        <v>0</v>
      </c>
      <c r="H96" s="56"/>
      <c r="I96" s="56"/>
      <c r="J96" s="56"/>
      <c r="K96" s="56"/>
      <c r="L96" s="13"/>
      <c r="M96" s="24"/>
      <c r="P96" s="25">
        <v>730</v>
      </c>
    </row>
    <row r="97" spans="3:16" ht="12.75" x14ac:dyDescent="0.2">
      <c r="C97" s="6"/>
      <c r="D97" s="55" t="s">
        <v>193</v>
      </c>
      <c r="E97" s="49" t="s">
        <v>194</v>
      </c>
      <c r="F97" s="22" t="s">
        <v>195</v>
      </c>
      <c r="G97" s="23">
        <f t="shared" si="0"/>
        <v>0</v>
      </c>
      <c r="H97" s="56"/>
      <c r="I97" s="56"/>
      <c r="J97" s="56"/>
      <c r="K97" s="56"/>
      <c r="L97" s="13"/>
      <c r="M97" s="24"/>
      <c r="P97" s="25"/>
    </row>
    <row r="98" spans="3:16" ht="12.75" x14ac:dyDescent="0.2">
      <c r="C98" s="6"/>
      <c r="D98" s="55" t="s">
        <v>196</v>
      </c>
      <c r="E98" s="48" t="s">
        <v>197</v>
      </c>
      <c r="F98" s="22" t="s">
        <v>198</v>
      </c>
      <c r="G98" s="23">
        <f t="shared" si="0"/>
        <v>0</v>
      </c>
      <c r="H98" s="56"/>
      <c r="I98" s="56"/>
      <c r="J98" s="56"/>
      <c r="K98" s="56"/>
      <c r="L98" s="13"/>
      <c r="M98" s="24"/>
      <c r="P98" s="25">
        <v>740</v>
      </c>
    </row>
    <row r="99" spans="3:16" ht="12.75" x14ac:dyDescent="0.2">
      <c r="C99" s="6"/>
      <c r="D99" s="55" t="s">
        <v>199</v>
      </c>
      <c r="E99" s="21" t="s">
        <v>200</v>
      </c>
      <c r="F99" s="22" t="s">
        <v>201</v>
      </c>
      <c r="G99" s="23">
        <f t="shared" si="0"/>
        <v>0</v>
      </c>
      <c r="H99" s="57">
        <f>H100+H116</f>
        <v>0</v>
      </c>
      <c r="I99" s="57">
        <f>I100+I116</f>
        <v>0</v>
      </c>
      <c r="J99" s="57">
        <f>J100+J116</f>
        <v>0</v>
      </c>
      <c r="K99" s="57">
        <f>K100+K116</f>
        <v>0</v>
      </c>
      <c r="L99" s="13"/>
      <c r="M99" s="24"/>
      <c r="P99" s="25">
        <v>750</v>
      </c>
    </row>
    <row r="100" spans="3:16" ht="12.75" x14ac:dyDescent="0.2">
      <c r="C100" s="6"/>
      <c r="D100" s="55" t="s">
        <v>202</v>
      </c>
      <c r="E100" s="26" t="s">
        <v>203</v>
      </c>
      <c r="F100" s="22" t="s">
        <v>204</v>
      </c>
      <c r="G100" s="23">
        <f t="shared" si="0"/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57">
        <f>K101+K102</f>
        <v>0</v>
      </c>
      <c r="L100" s="13"/>
      <c r="M100" s="24"/>
      <c r="P100" s="25">
        <v>760</v>
      </c>
    </row>
    <row r="101" spans="3:16" ht="12.75" x14ac:dyDescent="0.2">
      <c r="C101" s="6"/>
      <c r="D101" s="55" t="s">
        <v>205</v>
      </c>
      <c r="E101" s="48" t="s">
        <v>206</v>
      </c>
      <c r="F101" s="22" t="s">
        <v>207</v>
      </c>
      <c r="G101" s="23">
        <f t="shared" si="0"/>
        <v>0</v>
      </c>
      <c r="H101" s="56"/>
      <c r="I101" s="56"/>
      <c r="J101" s="56"/>
      <c r="K101" s="56"/>
      <c r="L101" s="13"/>
      <c r="M101" s="24"/>
      <c r="P101" s="25"/>
    </row>
    <row r="102" spans="3:16" ht="12.75" x14ac:dyDescent="0.2">
      <c r="C102" s="6"/>
      <c r="D102" s="55" t="s">
        <v>208</v>
      </c>
      <c r="E102" s="48" t="s">
        <v>209</v>
      </c>
      <c r="F102" s="22" t="s">
        <v>210</v>
      </c>
      <c r="G102" s="23">
        <f t="shared" si="0"/>
        <v>0</v>
      </c>
      <c r="H102" s="57">
        <f>H103+H106+H109+H112+H113+H114+H115</f>
        <v>0</v>
      </c>
      <c r="I102" s="57">
        <f>I103+I106+I109+I112+I113+I114+I115</f>
        <v>0</v>
      </c>
      <c r="J102" s="57">
        <f>J103+J106+J109+J112+J113+J114+J115</f>
        <v>0</v>
      </c>
      <c r="K102" s="57">
        <f>K103+K106+K109+K112+K113+K114+K115</f>
        <v>0</v>
      </c>
      <c r="L102" s="13"/>
      <c r="M102" s="24"/>
      <c r="P102" s="25"/>
    </row>
    <row r="103" spans="3:16" ht="33.75" x14ac:dyDescent="0.2">
      <c r="C103" s="6"/>
      <c r="D103" s="55" t="s">
        <v>211</v>
      </c>
      <c r="E103" s="49" t="s">
        <v>212</v>
      </c>
      <c r="F103" s="22" t="s">
        <v>213</v>
      </c>
      <c r="G103" s="23">
        <f t="shared" si="0"/>
        <v>0</v>
      </c>
      <c r="H103" s="58">
        <f>H104+H105</f>
        <v>0</v>
      </c>
      <c r="I103" s="58">
        <f>I104+I105</f>
        <v>0</v>
      </c>
      <c r="J103" s="58">
        <f>J104+J105</f>
        <v>0</v>
      </c>
      <c r="K103" s="58">
        <f>K104+K105</f>
        <v>0</v>
      </c>
      <c r="L103" s="13"/>
      <c r="M103" s="24"/>
      <c r="P103" s="25"/>
    </row>
    <row r="104" spans="3:16" ht="12.75" x14ac:dyDescent="0.2">
      <c r="C104" s="6"/>
      <c r="D104" s="55" t="s">
        <v>214</v>
      </c>
      <c r="E104" s="59" t="s">
        <v>215</v>
      </c>
      <c r="F104" s="22" t="s">
        <v>216</v>
      </c>
      <c r="G104" s="23">
        <f t="shared" si="0"/>
        <v>0</v>
      </c>
      <c r="H104" s="56"/>
      <c r="I104" s="56"/>
      <c r="J104" s="56"/>
      <c r="K104" s="56"/>
      <c r="L104" s="13"/>
      <c r="M104" s="24"/>
      <c r="P104" s="25"/>
    </row>
    <row r="105" spans="3:16" ht="12.75" x14ac:dyDescent="0.2">
      <c r="C105" s="6"/>
      <c r="D105" s="55" t="s">
        <v>217</v>
      </c>
      <c r="E105" s="59" t="s">
        <v>218</v>
      </c>
      <c r="F105" s="22" t="s">
        <v>219</v>
      </c>
      <c r="G105" s="23">
        <f t="shared" si="0"/>
        <v>0</v>
      </c>
      <c r="H105" s="56"/>
      <c r="I105" s="56"/>
      <c r="J105" s="56"/>
      <c r="K105" s="56"/>
      <c r="L105" s="13"/>
      <c r="M105" s="24"/>
      <c r="P105" s="25"/>
    </row>
    <row r="106" spans="3:16" ht="33.75" x14ac:dyDescent="0.2">
      <c r="C106" s="6"/>
      <c r="D106" s="55" t="s">
        <v>220</v>
      </c>
      <c r="E106" s="49" t="s">
        <v>221</v>
      </c>
      <c r="F106" s="22" t="s">
        <v>222</v>
      </c>
      <c r="G106" s="23">
        <f t="shared" si="0"/>
        <v>0</v>
      </c>
      <c r="H106" s="58">
        <f>H107+H108</f>
        <v>0</v>
      </c>
      <c r="I106" s="58">
        <f>I107+I108</f>
        <v>0</v>
      </c>
      <c r="J106" s="58">
        <f>J107+J108</f>
        <v>0</v>
      </c>
      <c r="K106" s="58">
        <f>K107+K108</f>
        <v>0</v>
      </c>
      <c r="L106" s="13"/>
      <c r="M106" s="24"/>
      <c r="P106" s="25"/>
    </row>
    <row r="107" spans="3:16" ht="12.75" x14ac:dyDescent="0.2">
      <c r="C107" s="6"/>
      <c r="D107" s="55" t="s">
        <v>223</v>
      </c>
      <c r="E107" s="59" t="s">
        <v>215</v>
      </c>
      <c r="F107" s="22" t="s">
        <v>224</v>
      </c>
      <c r="G107" s="23">
        <f t="shared" si="0"/>
        <v>0</v>
      </c>
      <c r="H107" s="56"/>
      <c r="I107" s="56"/>
      <c r="J107" s="56"/>
      <c r="K107" s="56"/>
      <c r="L107" s="13"/>
      <c r="M107" s="24"/>
      <c r="P107" s="25"/>
    </row>
    <row r="108" spans="3:16" ht="12.75" x14ac:dyDescent="0.2">
      <c r="C108" s="6"/>
      <c r="D108" s="55" t="s">
        <v>225</v>
      </c>
      <c r="E108" s="59" t="s">
        <v>218</v>
      </c>
      <c r="F108" s="22" t="s">
        <v>226</v>
      </c>
      <c r="G108" s="23">
        <f t="shared" si="0"/>
        <v>0</v>
      </c>
      <c r="H108" s="56"/>
      <c r="I108" s="56"/>
      <c r="J108" s="56"/>
      <c r="K108" s="56"/>
      <c r="L108" s="13"/>
      <c r="M108" s="24"/>
      <c r="P108" s="25"/>
    </row>
    <row r="109" spans="3:16" ht="22.5" x14ac:dyDescent="0.2">
      <c r="C109" s="6"/>
      <c r="D109" s="55" t="s">
        <v>227</v>
      </c>
      <c r="E109" s="49" t="s">
        <v>228</v>
      </c>
      <c r="F109" s="22" t="s">
        <v>229</v>
      </c>
      <c r="G109" s="23">
        <f t="shared" si="0"/>
        <v>0</v>
      </c>
      <c r="H109" s="58">
        <f>H110+H111</f>
        <v>0</v>
      </c>
      <c r="I109" s="58">
        <f>I110+I111</f>
        <v>0</v>
      </c>
      <c r="J109" s="58">
        <f>J110+J111</f>
        <v>0</v>
      </c>
      <c r="K109" s="58">
        <f>K110+K111</f>
        <v>0</v>
      </c>
      <c r="L109" s="13"/>
      <c r="M109" s="24"/>
      <c r="P109" s="25"/>
    </row>
    <row r="110" spans="3:16" ht="12.75" x14ac:dyDescent="0.2">
      <c r="C110" s="6"/>
      <c r="D110" s="55" t="s">
        <v>230</v>
      </c>
      <c r="E110" s="59" t="s">
        <v>215</v>
      </c>
      <c r="F110" s="22" t="s">
        <v>231</v>
      </c>
      <c r="G110" s="23">
        <f t="shared" si="0"/>
        <v>0</v>
      </c>
      <c r="H110" s="56"/>
      <c r="I110" s="56"/>
      <c r="J110" s="56"/>
      <c r="K110" s="56"/>
      <c r="L110" s="13"/>
      <c r="M110" s="24"/>
      <c r="P110" s="25"/>
    </row>
    <row r="111" spans="3:16" ht="12.75" x14ac:dyDescent="0.2">
      <c r="C111" s="6"/>
      <c r="D111" s="55" t="s">
        <v>232</v>
      </c>
      <c r="E111" s="59" t="s">
        <v>218</v>
      </c>
      <c r="F111" s="22" t="s">
        <v>233</v>
      </c>
      <c r="G111" s="23">
        <f t="shared" si="0"/>
        <v>0</v>
      </c>
      <c r="H111" s="56"/>
      <c r="I111" s="56"/>
      <c r="J111" s="56"/>
      <c r="K111" s="56"/>
      <c r="L111" s="13"/>
      <c r="M111" s="24"/>
      <c r="P111" s="25"/>
    </row>
    <row r="112" spans="3:16" ht="12.75" x14ac:dyDescent="0.2">
      <c r="C112" s="6"/>
      <c r="D112" s="55" t="s">
        <v>234</v>
      </c>
      <c r="E112" s="49" t="s">
        <v>235</v>
      </c>
      <c r="F112" s="22" t="s">
        <v>236</v>
      </c>
      <c r="G112" s="23">
        <f t="shared" si="0"/>
        <v>0</v>
      </c>
      <c r="H112" s="56"/>
      <c r="I112" s="56"/>
      <c r="J112" s="56"/>
      <c r="K112" s="56"/>
      <c r="L112" s="13"/>
      <c r="M112" s="24"/>
      <c r="P112" s="25"/>
    </row>
    <row r="113" spans="3:16" ht="12.75" x14ac:dyDescent="0.2">
      <c r="C113" s="6"/>
      <c r="D113" s="55" t="s">
        <v>237</v>
      </c>
      <c r="E113" s="49" t="s">
        <v>238</v>
      </c>
      <c r="F113" s="22" t="s">
        <v>239</v>
      </c>
      <c r="G113" s="23">
        <f t="shared" si="0"/>
        <v>0</v>
      </c>
      <c r="H113" s="56"/>
      <c r="I113" s="56"/>
      <c r="J113" s="56"/>
      <c r="K113" s="56"/>
      <c r="L113" s="13"/>
      <c r="M113" s="24"/>
      <c r="P113" s="25"/>
    </row>
    <row r="114" spans="3:16" ht="33.75" x14ac:dyDescent="0.2">
      <c r="C114" s="6"/>
      <c r="D114" s="55" t="s">
        <v>240</v>
      </c>
      <c r="E114" s="49" t="s">
        <v>241</v>
      </c>
      <c r="F114" s="22" t="s">
        <v>242</v>
      </c>
      <c r="G114" s="23">
        <f t="shared" si="0"/>
        <v>0</v>
      </c>
      <c r="H114" s="56"/>
      <c r="I114" s="56"/>
      <c r="J114" s="56"/>
      <c r="K114" s="56"/>
      <c r="L114" s="13"/>
      <c r="M114" s="24"/>
      <c r="P114" s="25"/>
    </row>
    <row r="115" spans="3:16" ht="22.5" x14ac:dyDescent="0.2">
      <c r="C115" s="6"/>
      <c r="D115" s="55" t="s">
        <v>243</v>
      </c>
      <c r="E115" s="49" t="s">
        <v>244</v>
      </c>
      <c r="F115" s="22" t="s">
        <v>245</v>
      </c>
      <c r="G115" s="23">
        <f t="shared" si="0"/>
        <v>0</v>
      </c>
      <c r="H115" s="56"/>
      <c r="I115" s="56"/>
      <c r="J115" s="56"/>
      <c r="K115" s="56"/>
      <c r="L115" s="13"/>
      <c r="M115" s="24"/>
      <c r="P115" s="25"/>
    </row>
    <row r="116" spans="3:16" ht="12.75" x14ac:dyDescent="0.2">
      <c r="C116" s="6"/>
      <c r="D116" s="55" t="s">
        <v>246</v>
      </c>
      <c r="E116" s="26" t="s">
        <v>247</v>
      </c>
      <c r="F116" s="22" t="s">
        <v>248</v>
      </c>
      <c r="G116" s="23">
        <f t="shared" si="0"/>
        <v>0</v>
      </c>
      <c r="H116" s="57">
        <f>H119</f>
        <v>0</v>
      </c>
      <c r="I116" s="57">
        <f>I119</f>
        <v>0</v>
      </c>
      <c r="J116" s="57">
        <f>J119</f>
        <v>0</v>
      </c>
      <c r="K116" s="57">
        <f>K119</f>
        <v>0</v>
      </c>
      <c r="L116" s="13"/>
      <c r="M116" s="24"/>
      <c r="P116" s="25">
        <v>770</v>
      </c>
    </row>
    <row r="117" spans="3:16" ht="12.75" x14ac:dyDescent="0.2">
      <c r="C117" s="6"/>
      <c r="D117" s="55" t="s">
        <v>249</v>
      </c>
      <c r="E117" s="48" t="s">
        <v>191</v>
      </c>
      <c r="F117" s="22" t="s">
        <v>250</v>
      </c>
      <c r="G117" s="23">
        <f t="shared" si="0"/>
        <v>0</v>
      </c>
      <c r="H117" s="56"/>
      <c r="I117" s="56"/>
      <c r="J117" s="56"/>
      <c r="K117" s="56"/>
      <c r="L117" s="13"/>
      <c r="M117" s="24"/>
      <c r="P117" s="25">
        <v>780</v>
      </c>
    </row>
    <row r="118" spans="3:16" ht="12.75" x14ac:dyDescent="0.2">
      <c r="C118" s="6"/>
      <c r="D118" s="55" t="s">
        <v>251</v>
      </c>
      <c r="E118" s="49" t="s">
        <v>252</v>
      </c>
      <c r="F118" s="22" t="s">
        <v>253</v>
      </c>
      <c r="G118" s="23">
        <f t="shared" si="0"/>
        <v>0</v>
      </c>
      <c r="H118" s="56"/>
      <c r="I118" s="56"/>
      <c r="J118" s="56"/>
      <c r="K118" s="56"/>
      <c r="L118" s="13"/>
      <c r="M118" s="24"/>
      <c r="P118" s="25"/>
    </row>
    <row r="119" spans="3:16" ht="12.75" x14ac:dyDescent="0.2">
      <c r="C119" s="6"/>
      <c r="D119" s="55" t="s">
        <v>254</v>
      </c>
      <c r="E119" s="48" t="s">
        <v>197</v>
      </c>
      <c r="F119" s="22" t="s">
        <v>255</v>
      </c>
      <c r="G119" s="23">
        <f t="shared" si="0"/>
        <v>0</v>
      </c>
      <c r="H119" s="56"/>
      <c r="I119" s="56"/>
      <c r="J119" s="56"/>
      <c r="K119" s="56"/>
      <c r="L119" s="13"/>
      <c r="M119" s="24"/>
      <c r="P119" s="25">
        <v>790</v>
      </c>
    </row>
    <row r="120" spans="3:16" ht="12.75" x14ac:dyDescent="0.2">
      <c r="C120" s="6"/>
      <c r="D120" s="55" t="s">
        <v>256</v>
      </c>
      <c r="E120" s="46" t="s">
        <v>257</v>
      </c>
      <c r="F120" s="22" t="s">
        <v>258</v>
      </c>
      <c r="G120" s="23">
        <f t="shared" si="0"/>
        <v>1763.0740000000001</v>
      </c>
      <c r="H120" s="57">
        <f>SUM(H121:H122)</f>
        <v>0</v>
      </c>
      <c r="I120" s="57">
        <f>SUM(I121:I122)</f>
        <v>0</v>
      </c>
      <c r="J120" s="57">
        <f>SUM(J121:J122)</f>
        <v>203.21899999999999</v>
      </c>
      <c r="K120" s="57">
        <f>SUM(K121:K122)</f>
        <v>1559.855</v>
      </c>
      <c r="L120" s="13"/>
      <c r="M120" s="24"/>
      <c r="P120" s="25"/>
    </row>
    <row r="121" spans="3:16" ht="12.75" x14ac:dyDescent="0.2">
      <c r="C121" s="6"/>
      <c r="D121" s="55" t="s">
        <v>259</v>
      </c>
      <c r="E121" s="26" t="s">
        <v>185</v>
      </c>
      <c r="F121" s="22" t="s">
        <v>260</v>
      </c>
      <c r="G121" s="23">
        <f t="shared" si="0"/>
        <v>1763.0740000000001</v>
      </c>
      <c r="H121" s="56"/>
      <c r="I121" s="56"/>
      <c r="J121" s="56">
        <f>J36</f>
        <v>203.21899999999999</v>
      </c>
      <c r="K121" s="56">
        <f>K36</f>
        <v>1559.855</v>
      </c>
      <c r="L121" s="13"/>
      <c r="M121" s="24"/>
      <c r="P121" s="25"/>
    </row>
    <row r="122" spans="3:16" ht="12.75" x14ac:dyDescent="0.2">
      <c r="C122" s="6"/>
      <c r="D122" s="55" t="s">
        <v>261</v>
      </c>
      <c r="E122" s="26" t="s">
        <v>188</v>
      </c>
      <c r="F122" s="22" t="s">
        <v>262</v>
      </c>
      <c r="G122" s="23">
        <f t="shared" si="0"/>
        <v>0</v>
      </c>
      <c r="H122" s="57">
        <f>H124</f>
        <v>0</v>
      </c>
      <c r="I122" s="57">
        <f>I124</f>
        <v>0</v>
      </c>
      <c r="J122" s="57">
        <f>J124</f>
        <v>0</v>
      </c>
      <c r="K122" s="57">
        <f>K124</f>
        <v>0</v>
      </c>
      <c r="L122" s="13"/>
      <c r="M122" s="24"/>
      <c r="P122" s="25"/>
    </row>
    <row r="123" spans="3:16" ht="12.75" x14ac:dyDescent="0.2">
      <c r="C123" s="6"/>
      <c r="D123" s="55" t="s">
        <v>263</v>
      </c>
      <c r="E123" s="48" t="s">
        <v>264</v>
      </c>
      <c r="F123" s="22" t="s">
        <v>265</v>
      </c>
      <c r="G123" s="23">
        <f t="shared" si="0"/>
        <v>0</v>
      </c>
      <c r="H123" s="56"/>
      <c r="I123" s="56"/>
      <c r="J123" s="56"/>
      <c r="K123" s="56"/>
      <c r="L123" s="13"/>
      <c r="M123" s="24"/>
      <c r="P123" s="25"/>
    </row>
    <row r="124" spans="3:16" ht="12.75" x14ac:dyDescent="0.2">
      <c r="C124" s="6"/>
      <c r="D124" s="55" t="s">
        <v>266</v>
      </c>
      <c r="E124" s="48" t="s">
        <v>197</v>
      </c>
      <c r="F124" s="22" t="s">
        <v>267</v>
      </c>
      <c r="G124" s="23">
        <f t="shared" si="0"/>
        <v>0</v>
      </c>
      <c r="H124" s="56"/>
      <c r="I124" s="56"/>
      <c r="J124" s="56"/>
      <c r="K124" s="56"/>
      <c r="L124" s="13"/>
      <c r="M124" s="24"/>
      <c r="P124" s="25"/>
    </row>
    <row r="125" spans="3:16" ht="12.75" x14ac:dyDescent="0.2">
      <c r="C125" s="6"/>
      <c r="D125" s="87" t="s">
        <v>268</v>
      </c>
      <c r="E125" s="88"/>
      <c r="F125" s="88"/>
      <c r="G125" s="88"/>
      <c r="H125" s="88"/>
      <c r="I125" s="88"/>
      <c r="J125" s="88"/>
      <c r="K125" s="89"/>
      <c r="L125" s="13"/>
      <c r="M125" s="24"/>
      <c r="P125" s="60"/>
    </row>
    <row r="126" spans="3:16" ht="22.5" x14ac:dyDescent="0.2">
      <c r="C126" s="6"/>
      <c r="D126" s="55" t="s">
        <v>269</v>
      </c>
      <c r="E126" s="21" t="s">
        <v>270</v>
      </c>
      <c r="F126" s="22" t="s">
        <v>271</v>
      </c>
      <c r="G126" s="23">
        <f t="shared" si="0"/>
        <v>0</v>
      </c>
      <c r="H126" s="57">
        <f>SUM( H127:H128)</f>
        <v>0</v>
      </c>
      <c r="I126" s="57">
        <f>SUM( I127:I128)</f>
        <v>0</v>
      </c>
      <c r="J126" s="57">
        <f>SUM( J127:J128)</f>
        <v>0</v>
      </c>
      <c r="K126" s="57">
        <f>SUM( K127:K128)</f>
        <v>0</v>
      </c>
      <c r="L126" s="13"/>
      <c r="M126" s="24"/>
      <c r="P126" s="25">
        <v>800</v>
      </c>
    </row>
    <row r="127" spans="3:16" ht="12.75" x14ac:dyDescent="0.2">
      <c r="C127" s="6"/>
      <c r="D127" s="55" t="s">
        <v>272</v>
      </c>
      <c r="E127" s="26" t="s">
        <v>185</v>
      </c>
      <c r="F127" s="22" t="s">
        <v>273</v>
      </c>
      <c r="G127" s="23">
        <f t="shared" si="0"/>
        <v>0</v>
      </c>
      <c r="H127" s="56"/>
      <c r="I127" s="56"/>
      <c r="J127" s="56"/>
      <c r="K127" s="56"/>
      <c r="L127" s="13"/>
      <c r="M127" s="24"/>
      <c r="P127" s="25">
        <v>810</v>
      </c>
    </row>
    <row r="128" spans="3:16" ht="12.75" x14ac:dyDescent="0.2">
      <c r="C128" s="6"/>
      <c r="D128" s="55" t="s">
        <v>274</v>
      </c>
      <c r="E128" s="26" t="s">
        <v>188</v>
      </c>
      <c r="F128" s="22" t="s">
        <v>275</v>
      </c>
      <c r="G128" s="23">
        <f t="shared" si="0"/>
        <v>0</v>
      </c>
      <c r="H128" s="57">
        <f>H129+H131</f>
        <v>0</v>
      </c>
      <c r="I128" s="57">
        <f>I129+I131</f>
        <v>0</v>
      </c>
      <c r="J128" s="57">
        <f>J129+J131</f>
        <v>0</v>
      </c>
      <c r="K128" s="57">
        <f>K129+K131</f>
        <v>0</v>
      </c>
      <c r="L128" s="13"/>
      <c r="M128" s="24"/>
      <c r="P128" s="25">
        <v>820</v>
      </c>
    </row>
    <row r="129" spans="3:16" ht="12.75" x14ac:dyDescent="0.2">
      <c r="C129" s="6"/>
      <c r="D129" s="55" t="s">
        <v>276</v>
      </c>
      <c r="E129" s="48" t="s">
        <v>277</v>
      </c>
      <c r="F129" s="22" t="s">
        <v>278</v>
      </c>
      <c r="G129" s="23">
        <f t="shared" si="0"/>
        <v>0</v>
      </c>
      <c r="H129" s="56"/>
      <c r="I129" s="56"/>
      <c r="J129" s="56"/>
      <c r="K129" s="56"/>
      <c r="L129" s="13"/>
      <c r="M129" s="24"/>
      <c r="P129" s="25">
        <v>830</v>
      </c>
    </row>
    <row r="130" spans="3:16" ht="12.75" x14ac:dyDescent="0.2">
      <c r="C130" s="6"/>
      <c r="D130" s="55" t="s">
        <v>279</v>
      </c>
      <c r="E130" s="49" t="s">
        <v>280</v>
      </c>
      <c r="F130" s="22" t="s">
        <v>281</v>
      </c>
      <c r="G130" s="23">
        <f t="shared" si="0"/>
        <v>0</v>
      </c>
      <c r="H130" s="56"/>
      <c r="I130" s="56"/>
      <c r="J130" s="56"/>
      <c r="K130" s="56"/>
      <c r="L130" s="13"/>
      <c r="M130" s="24"/>
      <c r="P130" s="60"/>
    </row>
    <row r="131" spans="3:16" ht="12.75" x14ac:dyDescent="0.2">
      <c r="C131" s="6"/>
      <c r="D131" s="55" t="s">
        <v>282</v>
      </c>
      <c r="E131" s="48" t="s">
        <v>283</v>
      </c>
      <c r="F131" s="22" t="s">
        <v>284</v>
      </c>
      <c r="G131" s="23">
        <f t="shared" si="0"/>
        <v>0</v>
      </c>
      <c r="H131" s="56"/>
      <c r="I131" s="56"/>
      <c r="J131" s="56"/>
      <c r="K131" s="56"/>
      <c r="L131" s="13"/>
      <c r="M131" s="24"/>
      <c r="P131" s="25">
        <v>840</v>
      </c>
    </row>
    <row r="132" spans="3:16" ht="12.75" x14ac:dyDescent="0.2">
      <c r="C132" s="6"/>
      <c r="D132" s="55" t="s">
        <v>30</v>
      </c>
      <c r="E132" s="21" t="s">
        <v>285</v>
      </c>
      <c r="F132" s="22" t="s">
        <v>286</v>
      </c>
      <c r="G132" s="23">
        <f t="shared" si="0"/>
        <v>0</v>
      </c>
      <c r="H132" s="58">
        <f>SUM( H133+H138)</f>
        <v>0</v>
      </c>
      <c r="I132" s="58">
        <f>SUM( I133+I138)</f>
        <v>0</v>
      </c>
      <c r="J132" s="58">
        <f>SUM( J133+J138)</f>
        <v>0</v>
      </c>
      <c r="K132" s="58">
        <f>SUM( K133+K138)</f>
        <v>0</v>
      </c>
      <c r="L132" s="61"/>
      <c r="M132" s="24"/>
      <c r="P132" s="25">
        <v>850</v>
      </c>
    </row>
    <row r="133" spans="3:16" ht="12.75" x14ac:dyDescent="0.2">
      <c r="C133" s="6"/>
      <c r="D133" s="55" t="s">
        <v>287</v>
      </c>
      <c r="E133" s="26" t="s">
        <v>185</v>
      </c>
      <c r="F133" s="22" t="s">
        <v>288</v>
      </c>
      <c r="G133" s="23">
        <f t="shared" ref="G133:G146" si="1">SUM(H133:K133)</f>
        <v>0</v>
      </c>
      <c r="H133" s="58">
        <f>SUM( H134:H135)</f>
        <v>0</v>
      </c>
      <c r="I133" s="58">
        <f>SUM( I134:I135)</f>
        <v>0</v>
      </c>
      <c r="J133" s="58">
        <f>SUM( J134:J135)</f>
        <v>0</v>
      </c>
      <c r="K133" s="58">
        <f>SUM( K134:K135)</f>
        <v>0</v>
      </c>
      <c r="L133" s="61"/>
      <c r="M133" s="24"/>
      <c r="P133" s="25">
        <v>860</v>
      </c>
    </row>
    <row r="134" spans="3:16" ht="12.75" x14ac:dyDescent="0.2">
      <c r="C134" s="6"/>
      <c r="D134" s="55" t="s">
        <v>289</v>
      </c>
      <c r="E134" s="48" t="s">
        <v>206</v>
      </c>
      <c r="F134" s="22" t="s">
        <v>290</v>
      </c>
      <c r="G134" s="23">
        <f t="shared" si="1"/>
        <v>0</v>
      </c>
      <c r="H134" s="62"/>
      <c r="I134" s="62"/>
      <c r="J134" s="62"/>
      <c r="K134" s="62"/>
      <c r="L134" s="61"/>
      <c r="M134" s="24"/>
      <c r="P134" s="25"/>
    </row>
    <row r="135" spans="3:16" ht="12.75" x14ac:dyDescent="0.2">
      <c r="C135" s="6"/>
      <c r="D135" s="55" t="s">
        <v>291</v>
      </c>
      <c r="E135" s="48" t="s">
        <v>209</v>
      </c>
      <c r="F135" s="22" t="s">
        <v>292</v>
      </c>
      <c r="G135" s="23">
        <f t="shared" si="1"/>
        <v>0</v>
      </c>
      <c r="H135" s="58">
        <f>H136+H137</f>
        <v>0</v>
      </c>
      <c r="I135" s="58">
        <f>I136+I137</f>
        <v>0</v>
      </c>
      <c r="J135" s="58">
        <f>J136+J137</f>
        <v>0</v>
      </c>
      <c r="K135" s="58">
        <f>K136+K137</f>
        <v>0</v>
      </c>
      <c r="L135" s="61"/>
      <c r="M135" s="24"/>
      <c r="P135" s="25"/>
    </row>
    <row r="136" spans="3:16" ht="12.75" x14ac:dyDescent="0.2">
      <c r="C136" s="6"/>
      <c r="D136" s="55" t="s">
        <v>293</v>
      </c>
      <c r="E136" s="49" t="s">
        <v>215</v>
      </c>
      <c r="F136" s="22" t="s">
        <v>294</v>
      </c>
      <c r="G136" s="23">
        <f t="shared" si="1"/>
        <v>0</v>
      </c>
      <c r="H136" s="62"/>
      <c r="I136" s="62"/>
      <c r="J136" s="62"/>
      <c r="K136" s="62"/>
      <c r="L136" s="61"/>
      <c r="M136" s="24"/>
      <c r="P136" s="25"/>
    </row>
    <row r="137" spans="3:16" ht="12.75" x14ac:dyDescent="0.2">
      <c r="C137" s="6"/>
      <c r="D137" s="55" t="s">
        <v>295</v>
      </c>
      <c r="E137" s="49" t="s">
        <v>296</v>
      </c>
      <c r="F137" s="22" t="s">
        <v>297</v>
      </c>
      <c r="G137" s="23">
        <f t="shared" si="1"/>
        <v>0</v>
      </c>
      <c r="H137" s="62"/>
      <c r="I137" s="62"/>
      <c r="J137" s="62"/>
      <c r="K137" s="62"/>
      <c r="L137" s="61"/>
      <c r="M137" s="24"/>
      <c r="P137" s="25"/>
    </row>
    <row r="138" spans="3:16" ht="12.75" x14ac:dyDescent="0.2">
      <c r="C138" s="6"/>
      <c r="D138" s="55" t="s">
        <v>298</v>
      </c>
      <c r="E138" s="26" t="s">
        <v>247</v>
      </c>
      <c r="F138" s="22" t="s">
        <v>299</v>
      </c>
      <c r="G138" s="23">
        <f t="shared" si="1"/>
        <v>0</v>
      </c>
      <c r="H138" s="58">
        <f>H139+H141</f>
        <v>0</v>
      </c>
      <c r="I138" s="58">
        <f>I139+I141</f>
        <v>0</v>
      </c>
      <c r="J138" s="58">
        <f>J139+J141</f>
        <v>0</v>
      </c>
      <c r="K138" s="58">
        <f>K139+K141</f>
        <v>0</v>
      </c>
      <c r="L138" s="61"/>
      <c r="M138" s="24"/>
      <c r="P138" s="25">
        <v>870</v>
      </c>
    </row>
    <row r="139" spans="3:16" ht="12.75" x14ac:dyDescent="0.2">
      <c r="C139" s="6"/>
      <c r="D139" s="55" t="s">
        <v>300</v>
      </c>
      <c r="E139" s="48" t="s">
        <v>277</v>
      </c>
      <c r="F139" s="22" t="s">
        <v>301</v>
      </c>
      <c r="G139" s="23">
        <f t="shared" si="1"/>
        <v>0</v>
      </c>
      <c r="H139" s="56"/>
      <c r="I139" s="56"/>
      <c r="J139" s="56"/>
      <c r="K139" s="56"/>
      <c r="L139" s="61"/>
      <c r="M139" s="24"/>
      <c r="P139" s="25">
        <v>880</v>
      </c>
    </row>
    <row r="140" spans="3:16" ht="12.75" x14ac:dyDescent="0.2">
      <c r="C140" s="6"/>
      <c r="D140" s="55" t="s">
        <v>302</v>
      </c>
      <c r="E140" s="49" t="s">
        <v>280</v>
      </c>
      <c r="F140" s="22" t="s">
        <v>303</v>
      </c>
      <c r="G140" s="23">
        <f t="shared" si="1"/>
        <v>0</v>
      </c>
      <c r="H140" s="56"/>
      <c r="I140" s="56"/>
      <c r="J140" s="56"/>
      <c r="K140" s="56"/>
      <c r="L140" s="61"/>
      <c r="M140" s="24"/>
      <c r="P140" s="25"/>
    </row>
    <row r="141" spans="3:16" ht="12.75" x14ac:dyDescent="0.2">
      <c r="C141" s="6"/>
      <c r="D141" s="55" t="s">
        <v>304</v>
      </c>
      <c r="E141" s="48" t="s">
        <v>283</v>
      </c>
      <c r="F141" s="22" t="s">
        <v>305</v>
      </c>
      <c r="G141" s="23">
        <f t="shared" si="1"/>
        <v>0</v>
      </c>
      <c r="H141" s="63"/>
      <c r="I141" s="63"/>
      <c r="J141" s="63"/>
      <c r="K141" s="63"/>
      <c r="L141" s="61"/>
      <c r="M141" s="24"/>
      <c r="P141" s="25">
        <v>890</v>
      </c>
    </row>
    <row r="142" spans="3:16" ht="12.75" x14ac:dyDescent="0.2">
      <c r="C142" s="6"/>
      <c r="D142" s="55" t="s">
        <v>306</v>
      </c>
      <c r="E142" s="21" t="s">
        <v>307</v>
      </c>
      <c r="F142" s="22" t="s">
        <v>308</v>
      </c>
      <c r="G142" s="23">
        <f t="shared" si="1"/>
        <v>2584.6664839999999</v>
      </c>
      <c r="H142" s="64">
        <f>SUM( H143:H144)</f>
        <v>0</v>
      </c>
      <c r="I142" s="64">
        <f>SUM( I143:I144)</f>
        <v>0</v>
      </c>
      <c r="J142" s="64">
        <f>SUM( J143:J144)</f>
        <v>297.91905399999996</v>
      </c>
      <c r="K142" s="64">
        <f>SUM( K143:K144)</f>
        <v>2286.7474299999999</v>
      </c>
      <c r="L142" s="61"/>
      <c r="M142" s="24"/>
      <c r="P142" s="25">
        <v>900</v>
      </c>
    </row>
    <row r="143" spans="3:16" ht="12.75" x14ac:dyDescent="0.2">
      <c r="C143" s="6"/>
      <c r="D143" s="55" t="s">
        <v>309</v>
      </c>
      <c r="E143" s="26" t="s">
        <v>185</v>
      </c>
      <c r="F143" s="22" t="s">
        <v>310</v>
      </c>
      <c r="G143" s="23">
        <f t="shared" si="1"/>
        <v>2584.6664839999999</v>
      </c>
      <c r="H143" s="63"/>
      <c r="I143" s="63"/>
      <c r="J143" s="65">
        <f>J121*1.466</f>
        <v>297.91905399999996</v>
      </c>
      <c r="K143" s="65">
        <f>K121*1.466</f>
        <v>2286.7474299999999</v>
      </c>
      <c r="L143" s="61"/>
      <c r="M143" s="24"/>
      <c r="P143" s="25"/>
    </row>
    <row r="144" spans="3:16" ht="12.75" x14ac:dyDescent="0.2">
      <c r="C144" s="6"/>
      <c r="D144" s="55" t="s">
        <v>311</v>
      </c>
      <c r="E144" s="26" t="s">
        <v>188</v>
      </c>
      <c r="F144" s="22" t="s">
        <v>312</v>
      </c>
      <c r="G144" s="23">
        <f t="shared" si="1"/>
        <v>0</v>
      </c>
      <c r="H144" s="64">
        <f>H145+H146</f>
        <v>0</v>
      </c>
      <c r="I144" s="64">
        <f>I145+I146</f>
        <v>0</v>
      </c>
      <c r="J144" s="64">
        <f>J145+J146</f>
        <v>0</v>
      </c>
      <c r="K144" s="64">
        <f>K145+K146</f>
        <v>0</v>
      </c>
      <c r="L144" s="61"/>
      <c r="M144" s="24"/>
      <c r="P144" s="25"/>
    </row>
    <row r="145" spans="3:19" ht="12.75" x14ac:dyDescent="0.2">
      <c r="C145" s="6"/>
      <c r="D145" s="55" t="s">
        <v>313</v>
      </c>
      <c r="E145" s="48" t="s">
        <v>314</v>
      </c>
      <c r="F145" s="22" t="s">
        <v>315</v>
      </c>
      <c r="G145" s="23">
        <f t="shared" si="1"/>
        <v>0</v>
      </c>
      <c r="H145" s="63"/>
      <c r="I145" s="63"/>
      <c r="J145" s="63"/>
      <c r="K145" s="63"/>
      <c r="L145" s="61"/>
      <c r="M145" s="24"/>
      <c r="P145" s="25" t="s">
        <v>316</v>
      </c>
    </row>
    <row r="146" spans="3:19" ht="12.75" x14ac:dyDescent="0.2">
      <c r="C146" s="6"/>
      <c r="D146" s="55" t="s">
        <v>317</v>
      </c>
      <c r="E146" s="48" t="s">
        <v>283</v>
      </c>
      <c r="F146" s="22" t="s">
        <v>318</v>
      </c>
      <c r="G146" s="23">
        <f t="shared" si="1"/>
        <v>0</v>
      </c>
      <c r="H146" s="63"/>
      <c r="I146" s="63"/>
      <c r="J146" s="63"/>
      <c r="K146" s="66"/>
      <c r="L146" s="61"/>
      <c r="M146" s="24"/>
      <c r="P146" s="25" t="s">
        <v>319</v>
      </c>
    </row>
    <row r="147" spans="3:19" x14ac:dyDescent="0.25">
      <c r="D147" s="11"/>
      <c r="E147" s="67"/>
      <c r="F147" s="67"/>
      <c r="G147" s="67"/>
      <c r="H147" s="67"/>
      <c r="I147" s="67"/>
      <c r="J147" s="67"/>
      <c r="K147" s="68"/>
      <c r="L147" s="68"/>
      <c r="M147" s="68"/>
      <c r="N147" s="68"/>
      <c r="O147" s="68"/>
      <c r="P147" s="68"/>
      <c r="Q147" s="68"/>
      <c r="R147" s="69"/>
      <c r="S147" s="69"/>
    </row>
    <row r="148" spans="3:19" ht="12.75" x14ac:dyDescent="0.2">
      <c r="E148" s="24" t="s">
        <v>320</v>
      </c>
      <c r="F148" s="79" t="str">
        <f>IF([9]Титульный!G45="","",[9]Титульный!G45)</f>
        <v>Коммерческий директор</v>
      </c>
      <c r="G148" s="79"/>
      <c r="H148" s="70"/>
      <c r="I148" s="79" t="str">
        <f>IF([9]Титульный!G44="","",[9]Титульный!G44)</f>
        <v>Байков Алексей Александрович</v>
      </c>
      <c r="J148" s="79"/>
      <c r="K148" s="79"/>
      <c r="L148" s="70"/>
      <c r="M148" s="71"/>
      <c r="N148" s="71"/>
      <c r="O148" s="72"/>
      <c r="P148" s="68"/>
      <c r="Q148" s="68"/>
      <c r="R148" s="69"/>
      <c r="S148" s="69"/>
    </row>
    <row r="149" spans="3:19" ht="12.75" x14ac:dyDescent="0.2">
      <c r="E149" s="73" t="s">
        <v>321</v>
      </c>
      <c r="F149" s="78" t="s">
        <v>322</v>
      </c>
      <c r="G149" s="78"/>
      <c r="H149" s="72"/>
      <c r="I149" s="78" t="s">
        <v>323</v>
      </c>
      <c r="J149" s="78"/>
      <c r="K149" s="78"/>
      <c r="L149" s="72"/>
      <c r="M149" s="78" t="s">
        <v>324</v>
      </c>
      <c r="N149" s="78"/>
      <c r="O149" s="24"/>
      <c r="P149" s="68"/>
      <c r="Q149" s="68"/>
      <c r="R149" s="69"/>
      <c r="S149" s="69"/>
    </row>
    <row r="150" spans="3:19" ht="12.75" x14ac:dyDescent="0.2">
      <c r="E150" s="73" t="s">
        <v>325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68"/>
      <c r="Q150" s="68"/>
      <c r="R150" s="69"/>
      <c r="S150" s="69"/>
    </row>
    <row r="151" spans="3:19" ht="12.75" x14ac:dyDescent="0.2">
      <c r="E151" s="73" t="s">
        <v>326</v>
      </c>
      <c r="F151" s="79" t="str">
        <f>IF([9]Титульный!G46="","",[9]Титульный!G46)</f>
        <v>(495) 637 3220</v>
      </c>
      <c r="G151" s="79"/>
      <c r="H151" s="79"/>
      <c r="I151" s="24"/>
      <c r="J151" s="73" t="s">
        <v>327</v>
      </c>
      <c r="K151" s="76"/>
      <c r="L151" s="24"/>
      <c r="M151" s="24"/>
      <c r="N151" s="24"/>
      <c r="O151" s="24"/>
      <c r="P151" s="68"/>
      <c r="Q151" s="68"/>
      <c r="R151" s="69"/>
      <c r="S151" s="69"/>
    </row>
    <row r="152" spans="3:19" ht="12.75" x14ac:dyDescent="0.2">
      <c r="E152" s="24" t="s">
        <v>328</v>
      </c>
      <c r="F152" s="80" t="s">
        <v>329</v>
      </c>
      <c r="G152" s="80"/>
      <c r="H152" s="80"/>
      <c r="I152" s="24"/>
      <c r="J152" s="75" t="s">
        <v>330</v>
      </c>
      <c r="K152" s="75"/>
      <c r="L152" s="24"/>
      <c r="M152" s="24"/>
      <c r="N152" s="24"/>
      <c r="O152" s="24"/>
      <c r="P152" s="68"/>
      <c r="Q152" s="68"/>
      <c r="R152" s="69"/>
      <c r="S152" s="69"/>
    </row>
    <row r="153" spans="3:19" x14ac:dyDescent="0.25"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9"/>
      <c r="S153" s="69"/>
    </row>
    <row r="154" spans="3:19" x14ac:dyDescent="0.25"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9"/>
      <c r="S154" s="69"/>
    </row>
    <row r="155" spans="3:19" x14ac:dyDescent="0.25"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9"/>
      <c r="S155" s="69"/>
    </row>
    <row r="156" spans="3:19" x14ac:dyDescent="0.25"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9"/>
      <c r="S156" s="69"/>
    </row>
    <row r="157" spans="3:19" x14ac:dyDescent="0.25"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9"/>
      <c r="S157" s="69"/>
    </row>
    <row r="158" spans="3:19" x14ac:dyDescent="0.25"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9"/>
      <c r="S158" s="69"/>
    </row>
    <row r="159" spans="3:19" x14ac:dyDescent="0.25"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  <c r="S159" s="69"/>
    </row>
    <row r="160" spans="3:19" x14ac:dyDescent="0.25"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9"/>
      <c r="S160" s="69"/>
    </row>
    <row r="161" spans="5:19" x14ac:dyDescent="0.25"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9"/>
      <c r="S161" s="69"/>
    </row>
    <row r="162" spans="5:19" x14ac:dyDescent="0.25"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9"/>
      <c r="S162" s="69"/>
    </row>
    <row r="163" spans="5:19" x14ac:dyDescent="0.25"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9"/>
      <c r="S163" s="69"/>
    </row>
    <row r="164" spans="5:19" x14ac:dyDescent="0.25"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9"/>
      <c r="S164" s="69"/>
    </row>
    <row r="165" spans="5:19" x14ac:dyDescent="0.25"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9"/>
      <c r="S165" s="69"/>
    </row>
    <row r="166" spans="5:19" x14ac:dyDescent="0.25"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9"/>
      <c r="S166" s="69"/>
    </row>
    <row r="167" spans="5:19" x14ac:dyDescent="0.25"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9"/>
      <c r="S167" s="69"/>
    </row>
    <row r="168" spans="5:19" x14ac:dyDescent="0.25"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9"/>
      <c r="S168" s="69"/>
    </row>
    <row r="169" spans="5:19" x14ac:dyDescent="0.25"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9"/>
      <c r="S169" s="69"/>
    </row>
    <row r="170" spans="5:19" x14ac:dyDescent="0.25"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9"/>
      <c r="S170" s="69"/>
    </row>
    <row r="171" spans="5:19" x14ac:dyDescent="0.25"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9"/>
      <c r="S171" s="69"/>
    </row>
    <row r="172" spans="5:19" x14ac:dyDescent="0.25"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9"/>
      <c r="S172" s="69"/>
    </row>
    <row r="173" spans="5:19" x14ac:dyDescent="0.25"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9"/>
      <c r="S173" s="69"/>
    </row>
    <row r="174" spans="5:19" x14ac:dyDescent="0.25"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9"/>
      <c r="S174" s="69"/>
    </row>
    <row r="175" spans="5:19" x14ac:dyDescent="0.25"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9"/>
      <c r="S175" s="69"/>
    </row>
    <row r="176" spans="5:19" x14ac:dyDescent="0.25"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9"/>
      <c r="S176" s="69"/>
    </row>
    <row r="177" spans="5:19" x14ac:dyDescent="0.25"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9"/>
      <c r="S177" s="69"/>
    </row>
    <row r="178" spans="5:19" x14ac:dyDescent="0.25"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</row>
    <row r="179" spans="5:19" x14ac:dyDescent="0.25"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5:19" x14ac:dyDescent="0.25"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5:19" x14ac:dyDescent="0.25"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</sheetData>
  <mergeCells count="18">
    <mergeCell ref="F148:G148"/>
    <mergeCell ref="I148:K148"/>
    <mergeCell ref="D8:E8"/>
    <mergeCell ref="D11:D12"/>
    <mergeCell ref="E11:E12"/>
    <mergeCell ref="F11:F12"/>
    <mergeCell ref="G11:G12"/>
    <mergeCell ref="H11:K11"/>
    <mergeCell ref="D14:K14"/>
    <mergeCell ref="D51:K51"/>
    <mergeCell ref="D88:K88"/>
    <mergeCell ref="D92:K92"/>
    <mergeCell ref="D125:K125"/>
    <mergeCell ref="F149:G149"/>
    <mergeCell ref="I149:K149"/>
    <mergeCell ref="M149:N149"/>
    <mergeCell ref="F151:H151"/>
    <mergeCell ref="F152:H152"/>
  </mergeCells>
  <dataValidations count="2">
    <dataValidation allowBlank="1" showInputMessage="1" promptTitle="Ввод" prompt="Для выбора организации необходимо два раза нажать левую клавишу мыши!" sqref="E25 E62"/>
    <dataValidation type="decimal" allowBlank="1" showErrorMessage="1" errorTitle="Ошибка" error="Допускается ввод только действительных чисел!" sqref="G27:K40 G89:K91 G93:K124 G52:K55 G23:K25 G79:K87 G20:K21 G64:K77 G42:K50 G15:K18 G126:K146 G57:K58 G60:K6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Y181"/>
  <sheetViews>
    <sheetView view="pageBreakPreview" topLeftCell="C7" zoomScaleNormal="100" zoomScaleSheetLayoutView="100" workbookViewId="0">
      <selection activeCell="K7" sqref="K1:K7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idden="1" x14ac:dyDescent="0.25">
      <c r="S1" s="2"/>
      <c r="T1" s="2"/>
      <c r="U1" s="2"/>
      <c r="V1" s="2"/>
      <c r="Y1" s="2"/>
      <c r="AN1" s="2"/>
      <c r="AO1" s="2"/>
      <c r="AP1" s="2"/>
      <c r="BC1" s="2"/>
      <c r="BF1" s="2"/>
      <c r="BI1" s="2"/>
      <c r="BJ1" s="2"/>
      <c r="BX1" s="2"/>
      <c r="BY1" s="2"/>
    </row>
    <row r="2" spans="1:77" hidden="1" x14ac:dyDescent="0.25"/>
    <row r="3" spans="1:77" hidden="1" x14ac:dyDescent="0.25"/>
    <row r="4" spans="1:77" hidden="1" x14ac:dyDescent="0.2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idden="1" x14ac:dyDescent="0.2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idden="1" x14ac:dyDescent="0.25">
      <c r="A6" s="5"/>
    </row>
    <row r="7" spans="1:77" ht="12" customHeight="1" x14ac:dyDescent="0.25">
      <c r="A7" s="5"/>
      <c r="D7" s="6"/>
      <c r="E7" s="6"/>
      <c r="F7" s="6"/>
      <c r="G7" s="6"/>
      <c r="H7" s="6"/>
      <c r="I7" s="6"/>
      <c r="J7" s="6"/>
      <c r="K7" s="91" t="s">
        <v>340</v>
      </c>
      <c r="Q7" s="8"/>
    </row>
    <row r="8" spans="1:77" ht="22.5" customHeight="1" x14ac:dyDescent="0.25">
      <c r="A8" s="5"/>
      <c r="D8" s="81" t="s">
        <v>11</v>
      </c>
      <c r="E8" s="8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77" x14ac:dyDescent="0.25">
      <c r="A9" s="5"/>
      <c r="D9" s="10" t="str">
        <f>IF(org="","Не определено",org)</f>
        <v>ЗАО "Коттон Вэй"</v>
      </c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77" ht="12" customHeight="1" x14ac:dyDescent="0.25">
      <c r="D10" s="11"/>
      <c r="E10" s="11"/>
      <c r="F10" s="6"/>
      <c r="G10" s="6"/>
      <c r="H10" s="6"/>
      <c r="I10" s="6"/>
      <c r="K10" s="12" t="s">
        <v>12</v>
      </c>
    </row>
    <row r="11" spans="1:77" ht="15" customHeight="1" x14ac:dyDescent="0.25">
      <c r="C11" s="6"/>
      <c r="D11" s="82" t="s">
        <v>13</v>
      </c>
      <c r="E11" s="84" t="s">
        <v>14</v>
      </c>
      <c r="F11" s="84" t="s">
        <v>15</v>
      </c>
      <c r="G11" s="84" t="s">
        <v>16</v>
      </c>
      <c r="H11" s="84" t="s">
        <v>17</v>
      </c>
      <c r="I11" s="84"/>
      <c r="J11" s="84"/>
      <c r="K11" s="86"/>
      <c r="L11" s="13"/>
    </row>
    <row r="12" spans="1:77" ht="15" customHeight="1" x14ac:dyDescent="0.25">
      <c r="C12" s="6"/>
      <c r="D12" s="83"/>
      <c r="E12" s="85"/>
      <c r="F12" s="85"/>
      <c r="G12" s="85"/>
      <c r="H12" s="77" t="s">
        <v>18</v>
      </c>
      <c r="I12" s="77" t="s">
        <v>19</v>
      </c>
      <c r="J12" s="77" t="s">
        <v>20</v>
      </c>
      <c r="K12" s="15" t="s">
        <v>21</v>
      </c>
      <c r="L12" s="13"/>
    </row>
    <row r="13" spans="1:77" ht="12" customHeight="1" x14ac:dyDescent="0.25">
      <c r="D13" s="16">
        <v>0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</row>
    <row r="14" spans="1:77" s="17" customFormat="1" ht="15" customHeight="1" x14ac:dyDescent="0.25">
      <c r="C14" s="18"/>
      <c r="D14" s="87" t="s">
        <v>22</v>
      </c>
      <c r="E14" s="88"/>
      <c r="F14" s="88"/>
      <c r="G14" s="88"/>
      <c r="H14" s="88"/>
      <c r="I14" s="88"/>
      <c r="J14" s="88"/>
      <c r="K14" s="89"/>
      <c r="L14" s="19"/>
    </row>
    <row r="15" spans="1:77" s="17" customFormat="1" ht="15" customHeight="1" x14ac:dyDescent="0.2">
      <c r="C15" s="18"/>
      <c r="D15" s="20" t="s">
        <v>23</v>
      </c>
      <c r="E15" s="21" t="s">
        <v>24</v>
      </c>
      <c r="F15" s="22">
        <v>10</v>
      </c>
      <c r="G15" s="23">
        <f>SUM(H15:K15)</f>
        <v>2066.0039999999999</v>
      </c>
      <c r="H15" s="23">
        <f>H16+H17+H20+H23</f>
        <v>1627.5640000000001</v>
      </c>
      <c r="I15" s="23">
        <f>I16+I17+I20+I23</f>
        <v>0</v>
      </c>
      <c r="J15" s="23">
        <f>J16+J17+J20+J23</f>
        <v>438.44</v>
      </c>
      <c r="K15" s="23">
        <f>K16+K17+K20+K23</f>
        <v>0</v>
      </c>
      <c r="L15" s="19"/>
      <c r="M15" s="24"/>
      <c r="P15" s="25">
        <v>10</v>
      </c>
    </row>
    <row r="16" spans="1:77" s="17" customFormat="1" ht="15" customHeight="1" x14ac:dyDescent="0.2">
      <c r="C16" s="18"/>
      <c r="D16" s="20" t="s">
        <v>25</v>
      </c>
      <c r="E16" s="26" t="s">
        <v>26</v>
      </c>
      <c r="F16" s="22">
        <v>20</v>
      </c>
      <c r="G16" s="23">
        <f t="shared" ref="G16:G132" si="0">SUM(H16:K16)</f>
        <v>0</v>
      </c>
      <c r="H16" s="27"/>
      <c r="I16" s="27"/>
      <c r="J16" s="27"/>
      <c r="K16" s="27"/>
      <c r="L16" s="19"/>
      <c r="M16" s="24"/>
      <c r="P16" s="25">
        <v>20</v>
      </c>
    </row>
    <row r="17" spans="3:16" s="17" customFormat="1" ht="12.75" x14ac:dyDescent="0.2">
      <c r="C17" s="18"/>
      <c r="D17" s="20" t="s">
        <v>27</v>
      </c>
      <c r="E17" s="26" t="s">
        <v>28</v>
      </c>
      <c r="F17" s="22">
        <v>30</v>
      </c>
      <c r="G17" s="23">
        <f t="shared" si="0"/>
        <v>0</v>
      </c>
      <c r="H17" s="23">
        <f>SUM(H18:H19)</f>
        <v>0</v>
      </c>
      <c r="I17" s="23">
        <f>SUM(I18:I19)</f>
        <v>0</v>
      </c>
      <c r="J17" s="23">
        <f>SUM(J18:J19)</f>
        <v>0</v>
      </c>
      <c r="K17" s="23">
        <f>SUM(K18:K19)</f>
        <v>0</v>
      </c>
      <c r="L17" s="19"/>
      <c r="M17" s="24"/>
      <c r="P17" s="25">
        <v>30</v>
      </c>
    </row>
    <row r="18" spans="3:16" s="17" customFormat="1" ht="12.75" x14ac:dyDescent="0.2">
      <c r="C18" s="18"/>
      <c r="D18" s="28" t="s">
        <v>29</v>
      </c>
      <c r="E18" s="29"/>
      <c r="F18" s="30" t="s">
        <v>30</v>
      </c>
      <c r="G18" s="31"/>
      <c r="H18" s="31"/>
      <c r="I18" s="31"/>
      <c r="J18" s="31"/>
      <c r="K18" s="31"/>
      <c r="L18" s="19"/>
      <c r="M18" s="24"/>
      <c r="P18" s="25"/>
    </row>
    <row r="19" spans="3:16" s="17" customFormat="1" ht="12.75" x14ac:dyDescent="0.2">
      <c r="C19" s="18"/>
      <c r="D19" s="32"/>
      <c r="E19" s="33" t="s">
        <v>31</v>
      </c>
      <c r="F19" s="34"/>
      <c r="G19" s="34"/>
      <c r="H19" s="34"/>
      <c r="I19" s="34"/>
      <c r="J19" s="34"/>
      <c r="K19" s="35"/>
      <c r="L19" s="19"/>
      <c r="M19" s="24"/>
      <c r="P19" s="36"/>
    </row>
    <row r="20" spans="3:16" s="17" customFormat="1" ht="12.75" x14ac:dyDescent="0.2">
      <c r="C20" s="18"/>
      <c r="D20" s="20" t="s">
        <v>32</v>
      </c>
      <c r="E20" s="26" t="s">
        <v>33</v>
      </c>
      <c r="F20" s="22" t="s">
        <v>34</v>
      </c>
      <c r="G20" s="23">
        <f t="shared" si="0"/>
        <v>0</v>
      </c>
      <c r="H20" s="23">
        <f>SUM(H21:H22)</f>
        <v>0</v>
      </c>
      <c r="I20" s="23">
        <f>SUM(I21:I22)</f>
        <v>0</v>
      </c>
      <c r="J20" s="23">
        <f>SUM(J21:J22)</f>
        <v>0</v>
      </c>
      <c r="K20" s="23">
        <f>SUM(K21:K22)</f>
        <v>0</v>
      </c>
      <c r="L20" s="19"/>
      <c r="M20" s="24"/>
      <c r="P20" s="36"/>
    </row>
    <row r="21" spans="3:16" s="17" customFormat="1" ht="12.75" x14ac:dyDescent="0.2">
      <c r="C21" s="18"/>
      <c r="D21" s="28" t="s">
        <v>35</v>
      </c>
      <c r="E21" s="29"/>
      <c r="F21" s="30" t="s">
        <v>34</v>
      </c>
      <c r="G21" s="31"/>
      <c r="H21" s="31"/>
      <c r="I21" s="31"/>
      <c r="J21" s="31"/>
      <c r="K21" s="31"/>
      <c r="L21" s="19"/>
      <c r="M21" s="24"/>
      <c r="P21" s="25"/>
    </row>
    <row r="22" spans="3:16" s="17" customFormat="1" ht="12.75" x14ac:dyDescent="0.2">
      <c r="C22" s="18"/>
      <c r="D22" s="32"/>
      <c r="E22" s="33" t="s">
        <v>31</v>
      </c>
      <c r="F22" s="34"/>
      <c r="G22" s="34"/>
      <c r="H22" s="34"/>
      <c r="I22" s="34"/>
      <c r="J22" s="34"/>
      <c r="K22" s="35"/>
      <c r="L22" s="19"/>
      <c r="M22" s="24"/>
      <c r="P22" s="36"/>
    </row>
    <row r="23" spans="3:16" s="17" customFormat="1" ht="12.75" x14ac:dyDescent="0.2">
      <c r="C23" s="18"/>
      <c r="D23" s="20" t="s">
        <v>36</v>
      </c>
      <c r="E23" s="26" t="s">
        <v>37</v>
      </c>
      <c r="F23" s="22" t="s">
        <v>38</v>
      </c>
      <c r="G23" s="23">
        <f t="shared" si="0"/>
        <v>2066.0039999999999</v>
      </c>
      <c r="H23" s="23">
        <f>SUM(H24:H26)</f>
        <v>1627.5640000000001</v>
      </c>
      <c r="I23" s="23">
        <f>SUM(I24:I26)</f>
        <v>0</v>
      </c>
      <c r="J23" s="23">
        <f>SUM(J24:J26)</f>
        <v>438.44</v>
      </c>
      <c r="K23" s="23">
        <f>SUM(K24:K26)</f>
        <v>0</v>
      </c>
      <c r="L23" s="19"/>
      <c r="M23" s="24"/>
      <c r="P23" s="25">
        <v>40</v>
      </c>
    </row>
    <row r="24" spans="3:16" s="17" customFormat="1" ht="12.75" x14ac:dyDescent="0.2">
      <c r="C24" s="18"/>
      <c r="D24" s="28" t="s">
        <v>39</v>
      </c>
      <c r="E24" s="29"/>
      <c r="F24" s="30" t="s">
        <v>38</v>
      </c>
      <c r="G24" s="31"/>
      <c r="H24" s="31"/>
      <c r="I24" s="31"/>
      <c r="J24" s="31"/>
      <c r="K24" s="31"/>
      <c r="L24" s="19"/>
      <c r="M24" s="24"/>
      <c r="P24" s="25"/>
    </row>
    <row r="25" spans="3:16" s="17" customFormat="1" ht="15" x14ac:dyDescent="0.25">
      <c r="C25" s="37" t="s">
        <v>40</v>
      </c>
      <c r="D25" s="38" t="s">
        <v>41</v>
      </c>
      <c r="E25" s="39" t="s">
        <v>42</v>
      </c>
      <c r="F25" s="40">
        <v>431</v>
      </c>
      <c r="G25" s="41">
        <f>SUM(H25:K25)</f>
        <v>2066.0039999999999</v>
      </c>
      <c r="H25" s="42">
        <v>1627.5640000000001</v>
      </c>
      <c r="I25" s="42">
        <v>0</v>
      </c>
      <c r="J25" s="42">
        <v>438.44</v>
      </c>
      <c r="K25" s="42">
        <v>0</v>
      </c>
      <c r="L25" s="19"/>
      <c r="M25" s="43" t="s">
        <v>43</v>
      </c>
      <c r="N25" s="44" t="s">
        <v>44</v>
      </c>
      <c r="O25" s="44" t="s">
        <v>45</v>
      </c>
    </row>
    <row r="26" spans="3:16" s="17" customFormat="1" ht="12.75" x14ac:dyDescent="0.2">
      <c r="C26" s="18"/>
      <c r="D26" s="32"/>
      <c r="E26" s="33" t="s">
        <v>31</v>
      </c>
      <c r="F26" s="34"/>
      <c r="G26" s="34"/>
      <c r="H26" s="34"/>
      <c r="I26" s="34"/>
      <c r="J26" s="34"/>
      <c r="K26" s="35"/>
      <c r="L26" s="19"/>
      <c r="M26" s="24"/>
      <c r="P26" s="25"/>
    </row>
    <row r="27" spans="3:16" s="17" customFormat="1" ht="12.75" x14ac:dyDescent="0.2">
      <c r="C27" s="18"/>
      <c r="D27" s="20" t="s">
        <v>46</v>
      </c>
      <c r="E27" s="21" t="s">
        <v>47</v>
      </c>
      <c r="F27" s="22" t="s">
        <v>48</v>
      </c>
      <c r="G27" s="23">
        <f t="shared" si="0"/>
        <v>3491.7470000000003</v>
      </c>
      <c r="H27" s="23">
        <f>H29+H30+H31</f>
        <v>0</v>
      </c>
      <c r="I27" s="23">
        <f>I28+I30+I31</f>
        <v>0</v>
      </c>
      <c r="J27" s="23">
        <f>J28+J29+J31</f>
        <v>1627.5640000000001</v>
      </c>
      <c r="K27" s="23">
        <f>K28+K29+K30</f>
        <v>1864.183</v>
      </c>
      <c r="L27" s="19"/>
      <c r="M27" s="24"/>
      <c r="P27" s="25">
        <v>50</v>
      </c>
    </row>
    <row r="28" spans="3:16" s="17" customFormat="1" ht="12.75" x14ac:dyDescent="0.2">
      <c r="C28" s="18"/>
      <c r="D28" s="20" t="s">
        <v>49</v>
      </c>
      <c r="E28" s="26" t="s">
        <v>18</v>
      </c>
      <c r="F28" s="22" t="s">
        <v>50</v>
      </c>
      <c r="G28" s="23">
        <f t="shared" si="0"/>
        <v>1627.5640000000001</v>
      </c>
      <c r="H28" s="45"/>
      <c r="I28" s="27"/>
      <c r="J28" s="27">
        <f>H25</f>
        <v>1627.5640000000001</v>
      </c>
      <c r="K28" s="27"/>
      <c r="L28" s="19"/>
      <c r="M28" s="24"/>
      <c r="P28" s="25">
        <v>60</v>
      </c>
    </row>
    <row r="29" spans="3:16" s="17" customFormat="1" ht="12.75" x14ac:dyDescent="0.2">
      <c r="C29" s="18"/>
      <c r="D29" s="20" t="s">
        <v>51</v>
      </c>
      <c r="E29" s="26" t="s">
        <v>19</v>
      </c>
      <c r="F29" s="22" t="s">
        <v>52</v>
      </c>
      <c r="G29" s="23">
        <f t="shared" si="0"/>
        <v>0</v>
      </c>
      <c r="H29" s="27"/>
      <c r="I29" s="45"/>
      <c r="J29" s="27"/>
      <c r="K29" s="27"/>
      <c r="L29" s="19"/>
      <c r="M29" s="24"/>
      <c r="P29" s="25">
        <v>70</v>
      </c>
    </row>
    <row r="30" spans="3:16" s="17" customFormat="1" ht="12.75" x14ac:dyDescent="0.2">
      <c r="C30" s="18"/>
      <c r="D30" s="20" t="s">
        <v>53</v>
      </c>
      <c r="E30" s="26" t="s">
        <v>20</v>
      </c>
      <c r="F30" s="22" t="s">
        <v>54</v>
      </c>
      <c r="G30" s="23">
        <f t="shared" si="0"/>
        <v>1864.183</v>
      </c>
      <c r="H30" s="27"/>
      <c r="I30" s="27"/>
      <c r="J30" s="45"/>
      <c r="K30" s="27">
        <f>H25+J25-J36-J46</f>
        <v>1864.183</v>
      </c>
      <c r="L30" s="19"/>
      <c r="M30" s="24"/>
      <c r="P30" s="25">
        <v>80</v>
      </c>
    </row>
    <row r="31" spans="3:16" s="17" customFormat="1" ht="12.75" x14ac:dyDescent="0.2">
      <c r="C31" s="18"/>
      <c r="D31" s="20" t="s">
        <v>55</v>
      </c>
      <c r="E31" s="26" t="s">
        <v>56</v>
      </c>
      <c r="F31" s="22" t="s">
        <v>57</v>
      </c>
      <c r="G31" s="23">
        <f t="shared" si="0"/>
        <v>0</v>
      </c>
      <c r="H31" s="27"/>
      <c r="I31" s="27"/>
      <c r="J31" s="27"/>
      <c r="K31" s="45"/>
      <c r="L31" s="19"/>
      <c r="M31" s="24"/>
      <c r="P31" s="25">
        <v>90</v>
      </c>
    </row>
    <row r="32" spans="3:16" s="17" customFormat="1" ht="12.75" x14ac:dyDescent="0.2">
      <c r="C32" s="18"/>
      <c r="D32" s="20" t="s">
        <v>58</v>
      </c>
      <c r="E32" s="46" t="s">
        <v>59</v>
      </c>
      <c r="F32" s="22" t="s">
        <v>60</v>
      </c>
      <c r="G32" s="23">
        <f t="shared" si="0"/>
        <v>0</v>
      </c>
      <c r="H32" s="27"/>
      <c r="I32" s="27"/>
      <c r="J32" s="27"/>
      <c r="K32" s="27"/>
      <c r="L32" s="19"/>
      <c r="M32" s="24"/>
      <c r="P32" s="25"/>
    </row>
    <row r="33" spans="3:16" s="17" customFormat="1" ht="12.75" x14ac:dyDescent="0.2">
      <c r="C33" s="18"/>
      <c r="D33" s="20" t="s">
        <v>61</v>
      </c>
      <c r="E33" s="21" t="s">
        <v>62</v>
      </c>
      <c r="F33" s="47" t="s">
        <v>63</v>
      </c>
      <c r="G33" s="23">
        <f t="shared" si="0"/>
        <v>1709.5159999999998</v>
      </c>
      <c r="H33" s="23">
        <f>H34+H36+H39+H42</f>
        <v>0</v>
      </c>
      <c r="I33" s="23">
        <f>I34+I36+I39+I42</f>
        <v>0</v>
      </c>
      <c r="J33" s="23">
        <f>J34+J36+J39+J42</f>
        <v>201.821</v>
      </c>
      <c r="K33" s="23">
        <f>K34+K36+K39+K42</f>
        <v>1507.6949999999999</v>
      </c>
      <c r="L33" s="19"/>
      <c r="M33" s="24"/>
      <c r="P33" s="25">
        <v>100</v>
      </c>
    </row>
    <row r="34" spans="3:16" s="17" customFormat="1" ht="22.5" x14ac:dyDescent="0.2">
      <c r="C34" s="18"/>
      <c r="D34" s="20" t="s">
        <v>64</v>
      </c>
      <c r="E34" s="26" t="s">
        <v>65</v>
      </c>
      <c r="F34" s="22" t="s">
        <v>66</v>
      </c>
      <c r="G34" s="23">
        <f t="shared" si="0"/>
        <v>0</v>
      </c>
      <c r="H34" s="27"/>
      <c r="I34" s="27"/>
      <c r="J34" s="27"/>
      <c r="K34" s="27"/>
      <c r="L34" s="19"/>
      <c r="M34" s="24"/>
      <c r="P34" s="25"/>
    </row>
    <row r="35" spans="3:16" s="17" customFormat="1" ht="12.75" x14ac:dyDescent="0.2">
      <c r="C35" s="18"/>
      <c r="D35" s="20" t="s">
        <v>67</v>
      </c>
      <c r="E35" s="48" t="s">
        <v>68</v>
      </c>
      <c r="F35" s="22" t="s">
        <v>69</v>
      </c>
      <c r="G35" s="23">
        <f t="shared" si="0"/>
        <v>0</v>
      </c>
      <c r="H35" s="27"/>
      <c r="I35" s="27"/>
      <c r="J35" s="27"/>
      <c r="K35" s="27"/>
      <c r="L35" s="19"/>
      <c r="M35" s="24"/>
      <c r="P35" s="25"/>
    </row>
    <row r="36" spans="3:16" s="17" customFormat="1" ht="12.75" x14ac:dyDescent="0.2">
      <c r="C36" s="18"/>
      <c r="D36" s="20" t="s">
        <v>70</v>
      </c>
      <c r="E36" s="26" t="s">
        <v>71</v>
      </c>
      <c r="F36" s="22" t="s">
        <v>72</v>
      </c>
      <c r="G36" s="23">
        <f t="shared" si="0"/>
        <v>1709.5159999999998</v>
      </c>
      <c r="H36" s="27">
        <v>0</v>
      </c>
      <c r="I36" s="27">
        <v>0</v>
      </c>
      <c r="J36" s="27">
        <v>201.821</v>
      </c>
      <c r="K36" s="27">
        <v>1507.6949999999999</v>
      </c>
      <c r="L36" s="19"/>
      <c r="M36" s="24"/>
      <c r="P36" s="25"/>
    </row>
    <row r="37" spans="3:16" s="17" customFormat="1" ht="12.75" x14ac:dyDescent="0.2">
      <c r="C37" s="18"/>
      <c r="D37" s="20" t="s">
        <v>73</v>
      </c>
      <c r="E37" s="48" t="s">
        <v>74</v>
      </c>
      <c r="F37" s="22" t="s">
        <v>75</v>
      </c>
      <c r="G37" s="23">
        <f t="shared" si="0"/>
        <v>0</v>
      </c>
      <c r="H37" s="27"/>
      <c r="I37" s="27"/>
      <c r="J37" s="27"/>
      <c r="K37" s="27"/>
      <c r="L37" s="19"/>
      <c r="M37" s="24"/>
      <c r="P37" s="25"/>
    </row>
    <row r="38" spans="3:16" s="17" customFormat="1" ht="12.75" x14ac:dyDescent="0.2">
      <c r="C38" s="18"/>
      <c r="D38" s="20" t="s">
        <v>76</v>
      </c>
      <c r="E38" s="49" t="s">
        <v>68</v>
      </c>
      <c r="F38" s="22" t="s">
        <v>77</v>
      </c>
      <c r="G38" s="23">
        <f t="shared" si="0"/>
        <v>0</v>
      </c>
      <c r="H38" s="27"/>
      <c r="I38" s="27"/>
      <c r="J38" s="27"/>
      <c r="K38" s="27"/>
      <c r="L38" s="19"/>
      <c r="M38" s="24"/>
      <c r="P38" s="25"/>
    </row>
    <row r="39" spans="3:16" s="17" customFormat="1" ht="12.75" x14ac:dyDescent="0.2">
      <c r="C39" s="18"/>
      <c r="D39" s="20" t="s">
        <v>78</v>
      </c>
      <c r="E39" s="26" t="s">
        <v>79</v>
      </c>
      <c r="F39" s="22" t="s">
        <v>80</v>
      </c>
      <c r="G39" s="23">
        <f t="shared" si="0"/>
        <v>0</v>
      </c>
      <c r="H39" s="23">
        <f>SUM(H40:H41)</f>
        <v>0</v>
      </c>
      <c r="I39" s="23">
        <f>SUM(I40:I41)</f>
        <v>0</v>
      </c>
      <c r="J39" s="23">
        <f>SUM(J40:J41)</f>
        <v>0</v>
      </c>
      <c r="K39" s="23">
        <f>SUM(K40:K41)</f>
        <v>0</v>
      </c>
      <c r="L39" s="19"/>
      <c r="M39" s="24"/>
      <c r="P39" s="25"/>
    </row>
    <row r="40" spans="3:16" s="17" customFormat="1" ht="12.75" x14ac:dyDescent="0.2">
      <c r="C40" s="18"/>
      <c r="D40" s="28" t="s">
        <v>81</v>
      </c>
      <c r="E40" s="29"/>
      <c r="F40" s="30" t="s">
        <v>80</v>
      </c>
      <c r="G40" s="31"/>
      <c r="H40" s="31"/>
      <c r="I40" s="31"/>
      <c r="J40" s="31"/>
      <c r="K40" s="31"/>
      <c r="L40" s="19"/>
      <c r="M40" s="24"/>
      <c r="P40" s="25"/>
    </row>
    <row r="41" spans="3:16" s="17" customFormat="1" ht="12.75" x14ac:dyDescent="0.2">
      <c r="C41" s="18"/>
      <c r="D41" s="50"/>
      <c r="E41" s="33" t="s">
        <v>31</v>
      </c>
      <c r="F41" s="34"/>
      <c r="G41" s="34"/>
      <c r="H41" s="34"/>
      <c r="I41" s="34"/>
      <c r="J41" s="34"/>
      <c r="K41" s="35"/>
      <c r="L41" s="19"/>
      <c r="M41" s="24"/>
      <c r="P41" s="25"/>
    </row>
    <row r="42" spans="3:16" s="17" customFormat="1" ht="12.75" x14ac:dyDescent="0.2">
      <c r="C42" s="18"/>
      <c r="D42" s="20" t="s">
        <v>82</v>
      </c>
      <c r="E42" s="51" t="s">
        <v>83</v>
      </c>
      <c r="F42" s="22" t="s">
        <v>84</v>
      </c>
      <c r="G42" s="23">
        <f t="shared" si="0"/>
        <v>0</v>
      </c>
      <c r="H42" s="27"/>
      <c r="I42" s="27"/>
      <c r="J42" s="27"/>
      <c r="K42" s="27"/>
      <c r="L42" s="19"/>
      <c r="M42" s="24"/>
      <c r="P42" s="25">
        <v>120</v>
      </c>
    </row>
    <row r="43" spans="3:16" s="17" customFormat="1" ht="12.75" x14ac:dyDescent="0.2">
      <c r="C43" s="18"/>
      <c r="D43" s="20" t="s">
        <v>85</v>
      </c>
      <c r="E43" s="21" t="s">
        <v>86</v>
      </c>
      <c r="F43" s="22" t="s">
        <v>87</v>
      </c>
      <c r="G43" s="23">
        <f t="shared" si="0"/>
        <v>3491.7470000000003</v>
      </c>
      <c r="H43" s="27">
        <f>J28</f>
        <v>1627.5640000000001</v>
      </c>
      <c r="I43" s="27"/>
      <c r="J43" s="27">
        <f>K30</f>
        <v>1864.183</v>
      </c>
      <c r="K43" s="27"/>
      <c r="L43" s="19"/>
      <c r="M43" s="24"/>
      <c r="P43" s="25">
        <v>150</v>
      </c>
    </row>
    <row r="44" spans="3:16" s="17" customFormat="1" ht="12.75" x14ac:dyDescent="0.2">
      <c r="C44" s="18"/>
      <c r="D44" s="20" t="s">
        <v>88</v>
      </c>
      <c r="E44" s="21" t="s">
        <v>89</v>
      </c>
      <c r="F44" s="22" t="s">
        <v>90</v>
      </c>
      <c r="G44" s="23">
        <f t="shared" si="0"/>
        <v>0</v>
      </c>
      <c r="H44" s="27"/>
      <c r="I44" s="27"/>
      <c r="J44" s="27"/>
      <c r="K44" s="27"/>
      <c r="L44" s="19"/>
      <c r="M44" s="24"/>
      <c r="P44" s="25">
        <v>160</v>
      </c>
    </row>
    <row r="45" spans="3:16" s="17" customFormat="1" ht="12.75" x14ac:dyDescent="0.2">
      <c r="C45" s="18"/>
      <c r="D45" s="20" t="s">
        <v>91</v>
      </c>
      <c r="E45" s="21" t="s">
        <v>92</v>
      </c>
      <c r="F45" s="22" t="s">
        <v>93</v>
      </c>
      <c r="G45" s="23">
        <f t="shared" si="0"/>
        <v>0</v>
      </c>
      <c r="H45" s="27"/>
      <c r="I45" s="27"/>
      <c r="J45" s="27"/>
      <c r="K45" s="27"/>
      <c r="L45" s="19"/>
      <c r="M45" s="24"/>
      <c r="P45" s="25">
        <v>180</v>
      </c>
    </row>
    <row r="46" spans="3:16" s="17" customFormat="1" ht="12.75" x14ac:dyDescent="0.2">
      <c r="C46" s="18"/>
      <c r="D46" s="20" t="s">
        <v>94</v>
      </c>
      <c r="E46" s="21" t="s">
        <v>95</v>
      </c>
      <c r="F46" s="22" t="s">
        <v>96</v>
      </c>
      <c r="G46" s="23">
        <f t="shared" si="0"/>
        <v>356.48800000000006</v>
      </c>
      <c r="H46" s="27"/>
      <c r="I46" s="27"/>
      <c r="J46" s="27"/>
      <c r="K46" s="27">
        <f>G25-G36</f>
        <v>356.48800000000006</v>
      </c>
      <c r="L46" s="19"/>
      <c r="M46" s="24"/>
      <c r="P46" s="25">
        <v>190</v>
      </c>
    </row>
    <row r="47" spans="3:16" s="17" customFormat="1" ht="12.75" x14ac:dyDescent="0.2">
      <c r="C47" s="18"/>
      <c r="D47" s="20" t="s">
        <v>97</v>
      </c>
      <c r="E47" s="26" t="s">
        <v>98</v>
      </c>
      <c r="F47" s="22" t="s">
        <v>99</v>
      </c>
      <c r="G47" s="23">
        <f t="shared" si="0"/>
        <v>0</v>
      </c>
      <c r="H47" s="27"/>
      <c r="I47" s="27"/>
      <c r="J47" s="27">
        <v>0</v>
      </c>
      <c r="K47" s="27">
        <v>0</v>
      </c>
      <c r="L47" s="19"/>
      <c r="M47" s="24"/>
      <c r="P47" s="25">
        <v>200</v>
      </c>
    </row>
    <row r="48" spans="3:16" s="17" customFormat="1" ht="12.75" x14ac:dyDescent="0.2">
      <c r="C48" s="18"/>
      <c r="D48" s="20" t="s">
        <v>100</v>
      </c>
      <c r="E48" s="21" t="s">
        <v>101</v>
      </c>
      <c r="F48" s="22" t="s">
        <v>102</v>
      </c>
      <c r="G48" s="23">
        <f t="shared" si="0"/>
        <v>105.1</v>
      </c>
      <c r="H48" s="27"/>
      <c r="I48" s="27"/>
      <c r="J48" s="27"/>
      <c r="K48" s="27">
        <f>0.1051*1000</f>
        <v>105.1</v>
      </c>
      <c r="L48" s="19"/>
      <c r="M48" s="24"/>
      <c r="P48" s="36"/>
    </row>
    <row r="49" spans="3:16" s="17" customFormat="1" ht="22.5" x14ac:dyDescent="0.2">
      <c r="C49" s="18"/>
      <c r="D49" s="20" t="s">
        <v>103</v>
      </c>
      <c r="E49" s="46" t="s">
        <v>104</v>
      </c>
      <c r="F49" s="22" t="s">
        <v>105</v>
      </c>
      <c r="G49" s="23">
        <f t="shared" si="0"/>
        <v>251.38800000000006</v>
      </c>
      <c r="H49" s="23">
        <f>H46-H48</f>
        <v>0</v>
      </c>
      <c r="I49" s="23">
        <f>I46-I48</f>
        <v>0</v>
      </c>
      <c r="J49" s="23">
        <f>J46-J48</f>
        <v>0</v>
      </c>
      <c r="K49" s="23">
        <f>K46-K48</f>
        <v>251.38800000000006</v>
      </c>
      <c r="L49" s="19"/>
      <c r="M49" s="24"/>
      <c r="P49" s="36"/>
    </row>
    <row r="50" spans="3:16" s="17" customFormat="1" ht="12.75" x14ac:dyDescent="0.2">
      <c r="C50" s="18"/>
      <c r="D50" s="20" t="s">
        <v>106</v>
      </c>
      <c r="E50" s="21" t="s">
        <v>107</v>
      </c>
      <c r="F50" s="22" t="s">
        <v>108</v>
      </c>
      <c r="G50" s="23">
        <f t="shared" si="0"/>
        <v>0</v>
      </c>
      <c r="H50" s="23">
        <f>(H15+H27+H32)-(H33+H43+H44+H45+H46)</f>
        <v>0</v>
      </c>
      <c r="I50" s="23">
        <f>(I15+I27+I32)-(I33+I43+I44+I45+I46)</f>
        <v>0</v>
      </c>
      <c r="J50" s="23">
        <f>(J15+J27+J32)-(J33+J43+J44+J45+J46)</f>
        <v>0</v>
      </c>
      <c r="K50" s="23">
        <f>(K15+K27+K32)-(K33+K43+K44+K45+K46)</f>
        <v>0</v>
      </c>
      <c r="L50" s="19"/>
      <c r="M50" s="24"/>
      <c r="P50" s="25">
        <v>210</v>
      </c>
    </row>
    <row r="51" spans="3:16" s="17" customFormat="1" ht="12.75" x14ac:dyDescent="0.2">
      <c r="C51" s="18"/>
      <c r="D51" s="87" t="s">
        <v>109</v>
      </c>
      <c r="E51" s="88"/>
      <c r="F51" s="88"/>
      <c r="G51" s="88"/>
      <c r="H51" s="88"/>
      <c r="I51" s="88"/>
      <c r="J51" s="88"/>
      <c r="K51" s="89"/>
      <c r="L51" s="19"/>
      <c r="M51" s="24"/>
      <c r="P51" s="36"/>
    </row>
    <row r="52" spans="3:16" s="17" customFormat="1" ht="12.75" x14ac:dyDescent="0.2">
      <c r="C52" s="18"/>
      <c r="D52" s="20" t="s">
        <v>110</v>
      </c>
      <c r="E52" s="21" t="s">
        <v>24</v>
      </c>
      <c r="F52" s="22" t="s">
        <v>111</v>
      </c>
      <c r="G52" s="23">
        <f t="shared" si="0"/>
        <v>4.8620000000000001</v>
      </c>
      <c r="H52" s="23">
        <f>H53+H54+H57+H60</f>
        <v>1.1668799999999999</v>
      </c>
      <c r="I52" s="23">
        <f>I53+I54+I57+I60</f>
        <v>0</v>
      </c>
      <c r="J52" s="23">
        <f>J53+J54+J57+J60</f>
        <v>3.6951200000000002</v>
      </c>
      <c r="K52" s="23">
        <f>K53+K54+K57+K60</f>
        <v>0</v>
      </c>
      <c r="L52" s="19"/>
      <c r="M52" s="24"/>
      <c r="P52" s="25">
        <v>300</v>
      </c>
    </row>
    <row r="53" spans="3:16" s="17" customFormat="1" ht="12.75" x14ac:dyDescent="0.2">
      <c r="C53" s="18"/>
      <c r="D53" s="20" t="s">
        <v>112</v>
      </c>
      <c r="E53" s="26" t="s">
        <v>26</v>
      </c>
      <c r="F53" s="22" t="s">
        <v>113</v>
      </c>
      <c r="G53" s="23">
        <f t="shared" si="0"/>
        <v>0</v>
      </c>
      <c r="H53" s="27"/>
      <c r="I53" s="27"/>
      <c r="J53" s="27"/>
      <c r="K53" s="27"/>
      <c r="L53" s="19"/>
      <c r="M53" s="24"/>
      <c r="P53" s="25">
        <v>310</v>
      </c>
    </row>
    <row r="54" spans="3:16" s="17" customFormat="1" ht="12.75" x14ac:dyDescent="0.2">
      <c r="C54" s="18"/>
      <c r="D54" s="20" t="s">
        <v>114</v>
      </c>
      <c r="E54" s="26" t="s">
        <v>28</v>
      </c>
      <c r="F54" s="22" t="s">
        <v>115</v>
      </c>
      <c r="G54" s="23">
        <f t="shared" si="0"/>
        <v>0</v>
      </c>
      <c r="H54" s="23">
        <f>SUM(H55:H56)</f>
        <v>0</v>
      </c>
      <c r="I54" s="23">
        <f>SUM(I55:I56)</f>
        <v>0</v>
      </c>
      <c r="J54" s="23">
        <f>SUM(J55:J56)</f>
        <v>0</v>
      </c>
      <c r="K54" s="23">
        <f>SUM(K55:K56)</f>
        <v>0</v>
      </c>
      <c r="L54" s="19"/>
      <c r="M54" s="24"/>
      <c r="P54" s="25">
        <v>320</v>
      </c>
    </row>
    <row r="55" spans="3:16" s="17" customFormat="1" ht="12.75" x14ac:dyDescent="0.2">
      <c r="C55" s="18"/>
      <c r="D55" s="28" t="s">
        <v>116</v>
      </c>
      <c r="E55" s="29"/>
      <c r="F55" s="30" t="s">
        <v>115</v>
      </c>
      <c r="G55" s="31"/>
      <c r="H55" s="31"/>
      <c r="I55" s="31"/>
      <c r="J55" s="31"/>
      <c r="K55" s="31"/>
      <c r="L55" s="19"/>
      <c r="M55" s="24"/>
      <c r="P55" s="25"/>
    </row>
    <row r="56" spans="3:16" s="17" customFormat="1" ht="12.75" x14ac:dyDescent="0.2">
      <c r="C56" s="18"/>
      <c r="D56" s="32"/>
      <c r="E56" s="33" t="s">
        <v>31</v>
      </c>
      <c r="F56" s="34"/>
      <c r="G56" s="34"/>
      <c r="H56" s="34"/>
      <c r="I56" s="34"/>
      <c r="J56" s="34"/>
      <c r="K56" s="35"/>
      <c r="L56" s="19"/>
      <c r="M56" s="24"/>
      <c r="P56" s="25"/>
    </row>
    <row r="57" spans="3:16" s="17" customFormat="1" ht="12.75" x14ac:dyDescent="0.2">
      <c r="C57" s="18"/>
      <c r="D57" s="20" t="s">
        <v>117</v>
      </c>
      <c r="E57" s="26" t="s">
        <v>33</v>
      </c>
      <c r="F57" s="22" t="s">
        <v>118</v>
      </c>
      <c r="G57" s="23">
        <f t="shared" si="0"/>
        <v>0</v>
      </c>
      <c r="H57" s="23">
        <f>SUM(H58:H59)</f>
        <v>0</v>
      </c>
      <c r="I57" s="23">
        <f>SUM(I58:I59)</f>
        <v>0</v>
      </c>
      <c r="J57" s="23">
        <f>SUM(J58:J59)</f>
        <v>0</v>
      </c>
      <c r="K57" s="23">
        <f>SUM(K58:K59)</f>
        <v>0</v>
      </c>
      <c r="L57" s="19"/>
      <c r="M57" s="24"/>
      <c r="P57" s="25"/>
    </row>
    <row r="58" spans="3:16" s="17" customFormat="1" ht="12.75" x14ac:dyDescent="0.2">
      <c r="C58" s="18"/>
      <c r="D58" s="28" t="s">
        <v>119</v>
      </c>
      <c r="E58" s="29"/>
      <c r="F58" s="30" t="s">
        <v>118</v>
      </c>
      <c r="G58" s="31"/>
      <c r="H58" s="31"/>
      <c r="I58" s="31"/>
      <c r="J58" s="31"/>
      <c r="K58" s="31"/>
      <c r="L58" s="19"/>
      <c r="M58" s="24"/>
      <c r="P58" s="25"/>
    </row>
    <row r="59" spans="3:16" s="17" customFormat="1" ht="12.75" x14ac:dyDescent="0.2">
      <c r="C59" s="18"/>
      <c r="D59" s="32"/>
      <c r="E59" s="33" t="s">
        <v>31</v>
      </c>
      <c r="F59" s="34"/>
      <c r="G59" s="34"/>
      <c r="H59" s="34"/>
      <c r="I59" s="34"/>
      <c r="J59" s="34"/>
      <c r="K59" s="35"/>
      <c r="L59" s="19"/>
      <c r="M59" s="24"/>
      <c r="P59" s="25"/>
    </row>
    <row r="60" spans="3:16" s="17" customFormat="1" ht="12.75" x14ac:dyDescent="0.2">
      <c r="C60" s="18"/>
      <c r="D60" s="20" t="s">
        <v>120</v>
      </c>
      <c r="E60" s="26" t="s">
        <v>37</v>
      </c>
      <c r="F60" s="22" t="s">
        <v>121</v>
      </c>
      <c r="G60" s="23">
        <f t="shared" si="0"/>
        <v>4.8620000000000001</v>
      </c>
      <c r="H60" s="23">
        <f>SUM(H61:H63)</f>
        <v>1.1668799999999999</v>
      </c>
      <c r="I60" s="23">
        <f>SUM(I61:I63)</f>
        <v>0</v>
      </c>
      <c r="J60" s="23">
        <f>SUM(J61:J63)</f>
        <v>3.6951200000000002</v>
      </c>
      <c r="K60" s="23">
        <f>SUM(K61:K63)</f>
        <v>0</v>
      </c>
      <c r="L60" s="19"/>
      <c r="M60" s="24"/>
      <c r="P60" s="25">
        <v>330</v>
      </c>
    </row>
    <row r="61" spans="3:16" s="17" customFormat="1" ht="12.75" x14ac:dyDescent="0.2">
      <c r="C61" s="18"/>
      <c r="D61" s="28" t="s">
        <v>122</v>
      </c>
      <c r="E61" s="29"/>
      <c r="F61" s="30" t="s">
        <v>121</v>
      </c>
      <c r="G61" s="31"/>
      <c r="H61" s="31"/>
      <c r="I61" s="31"/>
      <c r="J61" s="31"/>
      <c r="K61" s="31"/>
      <c r="L61" s="19"/>
      <c r="M61" s="24"/>
      <c r="P61" s="25"/>
    </row>
    <row r="62" spans="3:16" s="17" customFormat="1" ht="15" x14ac:dyDescent="0.25">
      <c r="C62" s="37" t="s">
        <v>40</v>
      </c>
      <c r="D62" s="38" t="s">
        <v>123</v>
      </c>
      <c r="E62" s="39" t="s">
        <v>42</v>
      </c>
      <c r="F62" s="40">
        <v>1461</v>
      </c>
      <c r="G62" s="41">
        <f>SUM(H62:K62)</f>
        <v>4.8620000000000001</v>
      </c>
      <c r="H62" s="52">
        <f>4.862*0.24</f>
        <v>1.1668799999999999</v>
      </c>
      <c r="I62" s="52">
        <v>0</v>
      </c>
      <c r="J62" s="52">
        <f>4.862-H62</f>
        <v>3.6951200000000002</v>
      </c>
      <c r="K62" s="53">
        <v>0</v>
      </c>
      <c r="L62" s="19"/>
      <c r="M62" s="43" t="s">
        <v>43</v>
      </c>
      <c r="N62" s="44" t="s">
        <v>44</v>
      </c>
      <c r="O62" s="44" t="s">
        <v>45</v>
      </c>
    </row>
    <row r="63" spans="3:16" s="17" customFormat="1" ht="12.75" x14ac:dyDescent="0.2">
      <c r="C63" s="18"/>
      <c r="D63" s="32"/>
      <c r="E63" s="33" t="s">
        <v>31</v>
      </c>
      <c r="F63" s="34"/>
      <c r="G63" s="34"/>
      <c r="H63" s="34"/>
      <c r="I63" s="34"/>
      <c r="J63" s="34"/>
      <c r="K63" s="35"/>
      <c r="L63" s="19"/>
      <c r="M63" s="24"/>
      <c r="P63" s="25"/>
    </row>
    <row r="64" spans="3:16" s="17" customFormat="1" ht="12.75" x14ac:dyDescent="0.2">
      <c r="C64" s="18"/>
      <c r="D64" s="20" t="s">
        <v>124</v>
      </c>
      <c r="E64" s="21" t="s">
        <v>47</v>
      </c>
      <c r="F64" s="22" t="s">
        <v>125</v>
      </c>
      <c r="G64" s="23">
        <f t="shared" si="0"/>
        <v>4.9129040000000002</v>
      </c>
      <c r="H64" s="23">
        <f>H66+H67+H68</f>
        <v>0</v>
      </c>
      <c r="I64" s="23">
        <f>I65+I67+I68</f>
        <v>0</v>
      </c>
      <c r="J64" s="23">
        <f>J65+J66+J68</f>
        <v>1.1668799999999999</v>
      </c>
      <c r="K64" s="23">
        <f>K65+K66+K67</f>
        <v>3.7460240000000002</v>
      </c>
      <c r="L64" s="19"/>
      <c r="M64" s="24"/>
      <c r="P64" s="25">
        <v>340</v>
      </c>
    </row>
    <row r="65" spans="3:16" s="17" customFormat="1" ht="12.75" x14ac:dyDescent="0.2">
      <c r="C65" s="18"/>
      <c r="D65" s="20" t="s">
        <v>126</v>
      </c>
      <c r="E65" s="26" t="s">
        <v>18</v>
      </c>
      <c r="F65" s="22" t="s">
        <v>127</v>
      </c>
      <c r="G65" s="23">
        <f t="shared" si="0"/>
        <v>1.1668799999999999</v>
      </c>
      <c r="H65" s="45"/>
      <c r="I65" s="27"/>
      <c r="J65" s="27">
        <f>H62</f>
        <v>1.1668799999999999</v>
      </c>
      <c r="K65" s="27"/>
      <c r="L65" s="19"/>
      <c r="M65" s="24"/>
      <c r="P65" s="25">
        <v>350</v>
      </c>
    </row>
    <row r="66" spans="3:16" s="17" customFormat="1" ht="12.75" x14ac:dyDescent="0.2">
      <c r="C66" s="18"/>
      <c r="D66" s="20" t="s">
        <v>128</v>
      </c>
      <c r="E66" s="26" t="s">
        <v>19</v>
      </c>
      <c r="F66" s="22" t="s">
        <v>129</v>
      </c>
      <c r="G66" s="23">
        <f t="shared" si="0"/>
        <v>0</v>
      </c>
      <c r="H66" s="27"/>
      <c r="I66" s="54"/>
      <c r="J66" s="27"/>
      <c r="K66" s="27"/>
      <c r="L66" s="19"/>
      <c r="M66" s="24"/>
      <c r="P66" s="25">
        <v>360</v>
      </c>
    </row>
    <row r="67" spans="3:16" s="17" customFormat="1" ht="12.75" x14ac:dyDescent="0.2">
      <c r="C67" s="18"/>
      <c r="D67" s="20" t="s">
        <v>130</v>
      </c>
      <c r="E67" s="26" t="s">
        <v>20</v>
      </c>
      <c r="F67" s="22" t="s">
        <v>131</v>
      </c>
      <c r="G67" s="23">
        <f t="shared" si="0"/>
        <v>3.7460240000000002</v>
      </c>
      <c r="H67" s="27"/>
      <c r="I67" s="27"/>
      <c r="J67" s="45"/>
      <c r="K67" s="27">
        <f>K73+K83</f>
        <v>3.7460240000000002</v>
      </c>
      <c r="L67" s="19"/>
      <c r="M67" s="24"/>
      <c r="P67" s="25">
        <v>370</v>
      </c>
    </row>
    <row r="68" spans="3:16" s="17" customFormat="1" ht="12.75" x14ac:dyDescent="0.2">
      <c r="C68" s="18"/>
      <c r="D68" s="20" t="s">
        <v>132</v>
      </c>
      <c r="E68" s="26" t="s">
        <v>56</v>
      </c>
      <c r="F68" s="22" t="s">
        <v>133</v>
      </c>
      <c r="G68" s="23">
        <f t="shared" si="0"/>
        <v>0</v>
      </c>
      <c r="H68" s="27"/>
      <c r="I68" s="27"/>
      <c r="J68" s="27"/>
      <c r="K68" s="45"/>
      <c r="L68" s="19"/>
      <c r="M68" s="24"/>
      <c r="P68" s="25">
        <v>380</v>
      </c>
    </row>
    <row r="69" spans="3:16" s="17" customFormat="1" ht="12.75" x14ac:dyDescent="0.2">
      <c r="C69" s="18"/>
      <c r="D69" s="20" t="s">
        <v>134</v>
      </c>
      <c r="E69" s="46" t="s">
        <v>59</v>
      </c>
      <c r="F69" s="22" t="s">
        <v>135</v>
      </c>
      <c r="G69" s="23">
        <f t="shared" si="0"/>
        <v>0</v>
      </c>
      <c r="H69" s="27"/>
      <c r="I69" s="27"/>
      <c r="J69" s="27"/>
      <c r="K69" s="27"/>
      <c r="L69" s="19"/>
      <c r="M69" s="24"/>
      <c r="P69" s="25"/>
    </row>
    <row r="70" spans="3:16" s="17" customFormat="1" ht="12.75" x14ac:dyDescent="0.2">
      <c r="C70" s="18"/>
      <c r="D70" s="20" t="s">
        <v>136</v>
      </c>
      <c r="E70" s="21" t="s">
        <v>62</v>
      </c>
      <c r="F70" s="47" t="s">
        <v>137</v>
      </c>
      <c r="G70" s="23">
        <f t="shared" si="0"/>
        <v>4.6498999999999997</v>
      </c>
      <c r="H70" s="23">
        <f>H71+H73+H76+H79</f>
        <v>0</v>
      </c>
      <c r="I70" s="23">
        <f>I71+I73+I76+I79</f>
        <v>0</v>
      </c>
      <c r="J70" s="23">
        <f>J71+J73+J76+J79</f>
        <v>1.1159759999999999</v>
      </c>
      <c r="K70" s="23">
        <f>K71+K73+K76+K79</f>
        <v>3.5339239999999998</v>
      </c>
      <c r="L70" s="19"/>
      <c r="M70" s="24"/>
      <c r="P70" s="25">
        <v>390</v>
      </c>
    </row>
    <row r="71" spans="3:16" s="17" customFormat="1" ht="22.5" x14ac:dyDescent="0.2">
      <c r="C71" s="18"/>
      <c r="D71" s="20" t="s">
        <v>138</v>
      </c>
      <c r="E71" s="26" t="s">
        <v>65</v>
      </c>
      <c r="F71" s="22" t="s">
        <v>139</v>
      </c>
      <c r="G71" s="23">
        <f t="shared" si="0"/>
        <v>0</v>
      </c>
      <c r="H71" s="27"/>
      <c r="I71" s="27"/>
      <c r="J71" s="27"/>
      <c r="K71" s="27"/>
      <c r="L71" s="19"/>
      <c r="M71" s="24"/>
      <c r="P71" s="25"/>
    </row>
    <row r="72" spans="3:16" s="17" customFormat="1" ht="12.75" x14ac:dyDescent="0.2">
      <c r="C72" s="18"/>
      <c r="D72" s="20" t="s">
        <v>140</v>
      </c>
      <c r="E72" s="48" t="s">
        <v>68</v>
      </c>
      <c r="F72" s="22" t="s">
        <v>141</v>
      </c>
      <c r="G72" s="23">
        <f t="shared" si="0"/>
        <v>0</v>
      </c>
      <c r="H72" s="27"/>
      <c r="I72" s="27"/>
      <c r="J72" s="27"/>
      <c r="K72" s="27"/>
      <c r="L72" s="19"/>
      <c r="M72" s="24"/>
      <c r="P72" s="25"/>
    </row>
    <row r="73" spans="3:16" s="17" customFormat="1" ht="12.75" x14ac:dyDescent="0.2">
      <c r="C73" s="18"/>
      <c r="D73" s="20" t="s">
        <v>142</v>
      </c>
      <c r="E73" s="26" t="s">
        <v>71</v>
      </c>
      <c r="F73" s="22" t="s">
        <v>143</v>
      </c>
      <c r="G73" s="23">
        <f t="shared" si="0"/>
        <v>4.6498999999999997</v>
      </c>
      <c r="H73" s="27">
        <v>0</v>
      </c>
      <c r="I73" s="27">
        <v>0</v>
      </c>
      <c r="J73" s="27">
        <f>4.6499*0.24</f>
        <v>1.1159759999999999</v>
      </c>
      <c r="K73" s="27">
        <f>4.6499-J73</f>
        <v>3.5339239999999998</v>
      </c>
      <c r="L73" s="19"/>
      <c r="M73" s="24"/>
      <c r="P73" s="25"/>
    </row>
    <row r="74" spans="3:16" s="17" customFormat="1" ht="12.75" x14ac:dyDescent="0.2">
      <c r="C74" s="18"/>
      <c r="D74" s="20" t="s">
        <v>144</v>
      </c>
      <c r="E74" s="48" t="s">
        <v>74</v>
      </c>
      <c r="F74" s="22" t="s">
        <v>145</v>
      </c>
      <c r="G74" s="23">
        <f t="shared" si="0"/>
        <v>0</v>
      </c>
      <c r="H74" s="27"/>
      <c r="I74" s="27"/>
      <c r="J74" s="27"/>
      <c r="K74" s="27"/>
      <c r="L74" s="19"/>
      <c r="M74" s="24"/>
      <c r="P74" s="25"/>
    </row>
    <row r="75" spans="3:16" s="17" customFormat="1" ht="12.75" x14ac:dyDescent="0.2">
      <c r="C75" s="18"/>
      <c r="D75" s="20" t="s">
        <v>146</v>
      </c>
      <c r="E75" s="49" t="s">
        <v>68</v>
      </c>
      <c r="F75" s="22" t="s">
        <v>147</v>
      </c>
      <c r="G75" s="23">
        <f t="shared" si="0"/>
        <v>0</v>
      </c>
      <c r="H75" s="27"/>
      <c r="I75" s="27"/>
      <c r="J75" s="27"/>
      <c r="K75" s="27"/>
      <c r="L75" s="19"/>
      <c r="M75" s="24"/>
      <c r="P75" s="25"/>
    </row>
    <row r="76" spans="3:16" s="17" customFormat="1" ht="12.75" x14ac:dyDescent="0.2">
      <c r="C76" s="18"/>
      <c r="D76" s="20" t="s">
        <v>148</v>
      </c>
      <c r="E76" s="26" t="s">
        <v>79</v>
      </c>
      <c r="F76" s="22" t="s">
        <v>149</v>
      </c>
      <c r="G76" s="23">
        <f t="shared" si="0"/>
        <v>0</v>
      </c>
      <c r="H76" s="23">
        <f>SUM(H77:H78)</f>
        <v>0</v>
      </c>
      <c r="I76" s="23">
        <f>SUM(I77:I78)</f>
        <v>0</v>
      </c>
      <c r="J76" s="23">
        <f>SUM(J77:J78)</f>
        <v>0</v>
      </c>
      <c r="K76" s="23">
        <f>SUM(K77:K78)</f>
        <v>0</v>
      </c>
      <c r="L76" s="19"/>
      <c r="M76" s="24"/>
      <c r="P76" s="25"/>
    </row>
    <row r="77" spans="3:16" s="17" customFormat="1" ht="12.75" x14ac:dyDescent="0.2">
      <c r="C77" s="18"/>
      <c r="D77" s="28" t="s">
        <v>150</v>
      </c>
      <c r="E77" s="29"/>
      <c r="F77" s="30" t="s">
        <v>149</v>
      </c>
      <c r="G77" s="31"/>
      <c r="H77" s="31"/>
      <c r="I77" s="31"/>
      <c r="J77" s="31"/>
      <c r="K77" s="31"/>
      <c r="L77" s="19"/>
      <c r="M77" s="24"/>
      <c r="P77" s="25"/>
    </row>
    <row r="78" spans="3:16" s="17" customFormat="1" ht="12.75" x14ac:dyDescent="0.2">
      <c r="C78" s="18"/>
      <c r="D78" s="32"/>
      <c r="E78" s="33" t="s">
        <v>31</v>
      </c>
      <c r="F78" s="34"/>
      <c r="G78" s="34"/>
      <c r="H78" s="34"/>
      <c r="I78" s="34"/>
      <c r="J78" s="34"/>
      <c r="K78" s="35"/>
      <c r="L78" s="19"/>
      <c r="M78" s="24"/>
      <c r="P78" s="25"/>
    </row>
    <row r="79" spans="3:16" s="17" customFormat="1" ht="12.75" x14ac:dyDescent="0.2">
      <c r="C79" s="18"/>
      <c r="D79" s="20" t="s">
        <v>151</v>
      </c>
      <c r="E79" s="51" t="s">
        <v>83</v>
      </c>
      <c r="F79" s="22" t="s">
        <v>152</v>
      </c>
      <c r="G79" s="23">
        <f t="shared" si="0"/>
        <v>0</v>
      </c>
      <c r="H79" s="27"/>
      <c r="I79" s="27"/>
      <c r="J79" s="27"/>
      <c r="K79" s="27"/>
      <c r="L79" s="19"/>
      <c r="M79" s="24"/>
      <c r="P79" s="25">
        <v>410</v>
      </c>
    </row>
    <row r="80" spans="3:16" s="17" customFormat="1" ht="12.75" x14ac:dyDescent="0.2">
      <c r="C80" s="18"/>
      <c r="D80" s="20" t="s">
        <v>153</v>
      </c>
      <c r="E80" s="21" t="s">
        <v>86</v>
      </c>
      <c r="F80" s="22" t="s">
        <v>154</v>
      </c>
      <c r="G80" s="23">
        <f t="shared" si="0"/>
        <v>4.9129040000000002</v>
      </c>
      <c r="H80" s="27">
        <f>H62</f>
        <v>1.1668799999999999</v>
      </c>
      <c r="I80" s="27"/>
      <c r="J80" s="27">
        <f>K67</f>
        <v>3.7460240000000002</v>
      </c>
      <c r="K80" s="27"/>
      <c r="L80" s="19"/>
      <c r="M80" s="24"/>
      <c r="P80" s="25">
        <v>440</v>
      </c>
    </row>
    <row r="81" spans="3:16" s="17" customFormat="1" ht="12.75" x14ac:dyDescent="0.2">
      <c r="C81" s="18"/>
      <c r="D81" s="20" t="s">
        <v>155</v>
      </c>
      <c r="E81" s="21" t="s">
        <v>89</v>
      </c>
      <c r="F81" s="22" t="s">
        <v>156</v>
      </c>
      <c r="G81" s="23">
        <f t="shared" si="0"/>
        <v>0</v>
      </c>
      <c r="H81" s="27"/>
      <c r="I81" s="27"/>
      <c r="J81" s="27"/>
      <c r="K81" s="27"/>
      <c r="L81" s="19"/>
      <c r="M81" s="24"/>
      <c r="P81" s="25">
        <v>450</v>
      </c>
    </row>
    <row r="82" spans="3:16" s="17" customFormat="1" ht="12.75" x14ac:dyDescent="0.2">
      <c r="C82" s="18"/>
      <c r="D82" s="20" t="s">
        <v>157</v>
      </c>
      <c r="E82" s="21" t="s">
        <v>92</v>
      </c>
      <c r="F82" s="22" t="s">
        <v>158</v>
      </c>
      <c r="G82" s="23">
        <f t="shared" si="0"/>
        <v>0</v>
      </c>
      <c r="H82" s="27"/>
      <c r="I82" s="27"/>
      <c r="J82" s="27"/>
      <c r="K82" s="27"/>
      <c r="L82" s="19"/>
      <c r="M82" s="24"/>
      <c r="P82" s="25">
        <v>470</v>
      </c>
    </row>
    <row r="83" spans="3:16" s="17" customFormat="1" ht="12.75" x14ac:dyDescent="0.2">
      <c r="C83" s="18"/>
      <c r="D83" s="20" t="s">
        <v>159</v>
      </c>
      <c r="E83" s="21" t="s">
        <v>95</v>
      </c>
      <c r="F83" s="22" t="s">
        <v>160</v>
      </c>
      <c r="G83" s="23">
        <f t="shared" si="0"/>
        <v>0.2121000000000004</v>
      </c>
      <c r="H83" s="27"/>
      <c r="I83" s="27"/>
      <c r="J83" s="27"/>
      <c r="K83" s="27">
        <f>G62-G73</f>
        <v>0.2121000000000004</v>
      </c>
      <c r="L83" s="19"/>
      <c r="M83" s="24"/>
      <c r="P83" s="25">
        <v>480</v>
      </c>
    </row>
    <row r="84" spans="3:16" s="17" customFormat="1" ht="12.75" x14ac:dyDescent="0.2">
      <c r="C84" s="18"/>
      <c r="D84" s="20" t="s">
        <v>161</v>
      </c>
      <c r="E84" s="26" t="s">
        <v>162</v>
      </c>
      <c r="F84" s="22" t="s">
        <v>163</v>
      </c>
      <c r="G84" s="23">
        <f t="shared" si="0"/>
        <v>0</v>
      </c>
      <c r="H84" s="27"/>
      <c r="I84" s="27"/>
      <c r="J84" s="27"/>
      <c r="K84" s="27"/>
      <c r="L84" s="19"/>
      <c r="M84" s="24"/>
      <c r="P84" s="25">
        <v>490</v>
      </c>
    </row>
    <row r="85" spans="3:16" s="17" customFormat="1" ht="12.75" x14ac:dyDescent="0.2">
      <c r="C85" s="18"/>
      <c r="D85" s="20" t="s">
        <v>164</v>
      </c>
      <c r="E85" s="21" t="s">
        <v>101</v>
      </c>
      <c r="F85" s="22" t="s">
        <v>165</v>
      </c>
      <c r="G85" s="23">
        <f t="shared" si="0"/>
        <v>0.21210000000000001</v>
      </c>
      <c r="H85" s="27"/>
      <c r="I85" s="27"/>
      <c r="J85" s="27"/>
      <c r="K85" s="27">
        <v>0.21210000000000001</v>
      </c>
      <c r="L85" s="19"/>
      <c r="M85" s="24"/>
      <c r="P85" s="25"/>
    </row>
    <row r="86" spans="3:16" s="17" customFormat="1" ht="22.5" x14ac:dyDescent="0.2">
      <c r="C86" s="18"/>
      <c r="D86" s="20" t="s">
        <v>166</v>
      </c>
      <c r="E86" s="46" t="s">
        <v>104</v>
      </c>
      <c r="F86" s="22" t="s">
        <v>167</v>
      </c>
      <c r="G86" s="23">
        <f t="shared" si="0"/>
        <v>3.8857805861880479E-16</v>
      </c>
      <c r="H86" s="23">
        <f>H83-H85</f>
        <v>0</v>
      </c>
      <c r="I86" s="23">
        <f>I83-I85</f>
        <v>0</v>
      </c>
      <c r="J86" s="23">
        <f>J83-J85</f>
        <v>0</v>
      </c>
      <c r="K86" s="23">
        <f>K83-K85</f>
        <v>3.8857805861880479E-16</v>
      </c>
      <c r="L86" s="19"/>
      <c r="M86" s="24"/>
      <c r="P86" s="25"/>
    </row>
    <row r="87" spans="3:16" s="17" customFormat="1" ht="12.75" x14ac:dyDescent="0.2">
      <c r="C87" s="18"/>
      <c r="D87" s="20" t="s">
        <v>168</v>
      </c>
      <c r="E87" s="21" t="s">
        <v>107</v>
      </c>
      <c r="F87" s="22" t="s">
        <v>169</v>
      </c>
      <c r="G87" s="23">
        <f t="shared" si="0"/>
        <v>0</v>
      </c>
      <c r="H87" s="23">
        <f>(H52+H64+H69)-(H70+H80+H81+H82+H83)</f>
        <v>0</v>
      </c>
      <c r="I87" s="23">
        <f>(I52+I64+I69)-(I70+I80+I81+I82+I83)</f>
        <v>0</v>
      </c>
      <c r="J87" s="23">
        <f>(J52+J64+J69)-(J70+J80+J81+J82+J83)</f>
        <v>0</v>
      </c>
      <c r="K87" s="23">
        <f>(K52+K64+K69)-(K70+K80+K81+K82+K83)</f>
        <v>0</v>
      </c>
      <c r="L87" s="19"/>
      <c r="M87" s="24"/>
      <c r="P87" s="25">
        <v>500</v>
      </c>
    </row>
    <row r="88" spans="3:16" s="17" customFormat="1" ht="12.75" x14ac:dyDescent="0.2">
      <c r="C88" s="18"/>
      <c r="D88" s="87" t="s">
        <v>170</v>
      </c>
      <c r="E88" s="88"/>
      <c r="F88" s="88"/>
      <c r="G88" s="88"/>
      <c r="H88" s="88"/>
      <c r="I88" s="88"/>
      <c r="J88" s="88"/>
      <c r="K88" s="89"/>
      <c r="L88" s="19"/>
      <c r="M88" s="24"/>
      <c r="P88" s="36"/>
    </row>
    <row r="89" spans="3:16" s="17" customFormat="1" ht="12.75" x14ac:dyDescent="0.2">
      <c r="C89" s="18"/>
      <c r="D89" s="20" t="s">
        <v>171</v>
      </c>
      <c r="E89" s="21" t="s">
        <v>172</v>
      </c>
      <c r="F89" s="22" t="s">
        <v>173</v>
      </c>
      <c r="G89" s="23">
        <f t="shared" si="0"/>
        <v>4.6498999999999997</v>
      </c>
      <c r="H89" s="27"/>
      <c r="I89" s="27"/>
      <c r="J89" s="42">
        <f>J73</f>
        <v>1.1159759999999999</v>
      </c>
      <c r="K89" s="42">
        <f>K73</f>
        <v>3.5339239999999998</v>
      </c>
      <c r="L89" s="19"/>
      <c r="M89" s="24"/>
      <c r="P89" s="25">
        <v>600</v>
      </c>
    </row>
    <row r="90" spans="3:16" s="17" customFormat="1" ht="12.75" x14ac:dyDescent="0.2">
      <c r="C90" s="18"/>
      <c r="D90" s="20" t="s">
        <v>174</v>
      </c>
      <c r="E90" s="21" t="s">
        <v>175</v>
      </c>
      <c r="F90" s="22" t="s">
        <v>176</v>
      </c>
      <c r="G90" s="23">
        <f t="shared" si="0"/>
        <v>0</v>
      </c>
      <c r="H90" s="27"/>
      <c r="I90" s="27"/>
      <c r="J90" s="27"/>
      <c r="K90" s="27"/>
      <c r="L90" s="19"/>
      <c r="M90" s="24"/>
      <c r="P90" s="25">
        <v>610</v>
      </c>
    </row>
    <row r="91" spans="3:16" s="17" customFormat="1" ht="12.75" x14ac:dyDescent="0.2">
      <c r="C91" s="18"/>
      <c r="D91" s="20" t="s">
        <v>177</v>
      </c>
      <c r="E91" s="21" t="s">
        <v>178</v>
      </c>
      <c r="F91" s="22" t="s">
        <v>179</v>
      </c>
      <c r="G91" s="23">
        <f t="shared" si="0"/>
        <v>0</v>
      </c>
      <c r="H91" s="27"/>
      <c r="I91" s="27"/>
      <c r="J91" s="27"/>
      <c r="K91" s="27"/>
      <c r="L91" s="19"/>
      <c r="M91" s="24"/>
      <c r="P91" s="25">
        <v>620</v>
      </c>
    </row>
    <row r="92" spans="3:16" s="17" customFormat="1" ht="12.75" x14ac:dyDescent="0.2">
      <c r="C92" s="18"/>
      <c r="D92" s="87" t="s">
        <v>180</v>
      </c>
      <c r="E92" s="88"/>
      <c r="F92" s="88"/>
      <c r="G92" s="88"/>
      <c r="H92" s="88"/>
      <c r="I92" s="88"/>
      <c r="J92" s="88"/>
      <c r="K92" s="89"/>
      <c r="L92" s="19"/>
      <c r="M92" s="24"/>
      <c r="P92" s="36"/>
    </row>
    <row r="93" spans="3:16" s="17" customFormat="1" ht="12.75" x14ac:dyDescent="0.2">
      <c r="C93" s="18"/>
      <c r="D93" s="20" t="s">
        <v>181</v>
      </c>
      <c r="E93" s="21" t="s">
        <v>182</v>
      </c>
      <c r="F93" s="22" t="s">
        <v>183</v>
      </c>
      <c r="G93" s="23">
        <f t="shared" si="0"/>
        <v>0</v>
      </c>
      <c r="H93" s="23">
        <f>SUM(H94:H95)</f>
        <v>0</v>
      </c>
      <c r="I93" s="23">
        <f>SUM(I94:I95)</f>
        <v>0</v>
      </c>
      <c r="J93" s="23">
        <f>SUM(J94:J95)</f>
        <v>0</v>
      </c>
      <c r="K93" s="23">
        <f>SUM(K94:K95)</f>
        <v>0</v>
      </c>
      <c r="L93" s="19"/>
      <c r="M93" s="24"/>
      <c r="P93" s="25">
        <v>700</v>
      </c>
    </row>
    <row r="94" spans="3:16" ht="12.75" x14ac:dyDescent="0.2">
      <c r="C94" s="6"/>
      <c r="D94" s="55" t="s">
        <v>184</v>
      </c>
      <c r="E94" s="26" t="s">
        <v>185</v>
      </c>
      <c r="F94" s="22" t="s">
        <v>186</v>
      </c>
      <c r="G94" s="23">
        <f t="shared" si="0"/>
        <v>0</v>
      </c>
      <c r="H94" s="56"/>
      <c r="I94" s="56"/>
      <c r="J94" s="56"/>
      <c r="K94" s="56"/>
      <c r="L94" s="13"/>
      <c r="M94" s="24"/>
      <c r="P94" s="25">
        <v>710</v>
      </c>
    </row>
    <row r="95" spans="3:16" ht="12.75" x14ac:dyDescent="0.2">
      <c r="C95" s="6"/>
      <c r="D95" s="55" t="s">
        <v>187</v>
      </c>
      <c r="E95" s="26" t="s">
        <v>188</v>
      </c>
      <c r="F95" s="22" t="s">
        <v>189</v>
      </c>
      <c r="G95" s="23">
        <f t="shared" si="0"/>
        <v>0</v>
      </c>
      <c r="H95" s="57">
        <f>H98</f>
        <v>0</v>
      </c>
      <c r="I95" s="57">
        <f>I98</f>
        <v>0</v>
      </c>
      <c r="J95" s="57">
        <f>J98</f>
        <v>0</v>
      </c>
      <c r="K95" s="57">
        <f>K98</f>
        <v>0</v>
      </c>
      <c r="L95" s="13"/>
      <c r="M95" s="24"/>
      <c r="P95" s="25">
        <v>720</v>
      </c>
    </row>
    <row r="96" spans="3:16" ht="12.75" x14ac:dyDescent="0.2">
      <c r="C96" s="6"/>
      <c r="D96" s="55" t="s">
        <v>190</v>
      </c>
      <c r="E96" s="48" t="s">
        <v>191</v>
      </c>
      <c r="F96" s="22" t="s">
        <v>192</v>
      </c>
      <c r="G96" s="23">
        <f t="shared" si="0"/>
        <v>0</v>
      </c>
      <c r="H96" s="56"/>
      <c r="I96" s="56"/>
      <c r="J96" s="56"/>
      <c r="K96" s="56"/>
      <c r="L96" s="13"/>
      <c r="M96" s="24"/>
      <c r="P96" s="25">
        <v>730</v>
      </c>
    </row>
    <row r="97" spans="3:16" ht="12.75" x14ac:dyDescent="0.2">
      <c r="C97" s="6"/>
      <c r="D97" s="55" t="s">
        <v>193</v>
      </c>
      <c r="E97" s="49" t="s">
        <v>194</v>
      </c>
      <c r="F97" s="22" t="s">
        <v>195</v>
      </c>
      <c r="G97" s="23">
        <f t="shared" si="0"/>
        <v>0</v>
      </c>
      <c r="H97" s="56"/>
      <c r="I97" s="56"/>
      <c r="J97" s="56"/>
      <c r="K97" s="56"/>
      <c r="L97" s="13"/>
      <c r="M97" s="24"/>
      <c r="P97" s="25"/>
    </row>
    <row r="98" spans="3:16" ht="12.75" x14ac:dyDescent="0.2">
      <c r="C98" s="6"/>
      <c r="D98" s="55" t="s">
        <v>196</v>
      </c>
      <c r="E98" s="48" t="s">
        <v>197</v>
      </c>
      <c r="F98" s="22" t="s">
        <v>198</v>
      </c>
      <c r="G98" s="23">
        <f t="shared" si="0"/>
        <v>0</v>
      </c>
      <c r="H98" s="56"/>
      <c r="I98" s="56"/>
      <c r="J98" s="56"/>
      <c r="K98" s="56"/>
      <c r="L98" s="13"/>
      <c r="M98" s="24"/>
      <c r="P98" s="25">
        <v>740</v>
      </c>
    </row>
    <row r="99" spans="3:16" ht="12.75" x14ac:dyDescent="0.2">
      <c r="C99" s="6"/>
      <c r="D99" s="55" t="s">
        <v>199</v>
      </c>
      <c r="E99" s="21" t="s">
        <v>200</v>
      </c>
      <c r="F99" s="22" t="s">
        <v>201</v>
      </c>
      <c r="G99" s="23">
        <f t="shared" si="0"/>
        <v>0</v>
      </c>
      <c r="H99" s="57">
        <f>H100+H116</f>
        <v>0</v>
      </c>
      <c r="I99" s="57">
        <f>I100+I116</f>
        <v>0</v>
      </c>
      <c r="J99" s="57">
        <f>J100+J116</f>
        <v>0</v>
      </c>
      <c r="K99" s="57">
        <f>K100+K116</f>
        <v>0</v>
      </c>
      <c r="L99" s="13"/>
      <c r="M99" s="24"/>
      <c r="P99" s="25">
        <v>750</v>
      </c>
    </row>
    <row r="100" spans="3:16" ht="12.75" x14ac:dyDescent="0.2">
      <c r="C100" s="6"/>
      <c r="D100" s="55" t="s">
        <v>202</v>
      </c>
      <c r="E100" s="26" t="s">
        <v>203</v>
      </c>
      <c r="F100" s="22" t="s">
        <v>204</v>
      </c>
      <c r="G100" s="23">
        <f t="shared" si="0"/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57">
        <f>K101+K102</f>
        <v>0</v>
      </c>
      <c r="L100" s="13"/>
      <c r="M100" s="24"/>
      <c r="P100" s="25">
        <v>760</v>
      </c>
    </row>
    <row r="101" spans="3:16" ht="12.75" x14ac:dyDescent="0.2">
      <c r="C101" s="6"/>
      <c r="D101" s="55" t="s">
        <v>205</v>
      </c>
      <c r="E101" s="48" t="s">
        <v>206</v>
      </c>
      <c r="F101" s="22" t="s">
        <v>207</v>
      </c>
      <c r="G101" s="23">
        <f t="shared" si="0"/>
        <v>0</v>
      </c>
      <c r="H101" s="56"/>
      <c r="I101" s="56"/>
      <c r="J101" s="56"/>
      <c r="K101" s="56"/>
      <c r="L101" s="13"/>
      <c r="M101" s="24"/>
      <c r="P101" s="25"/>
    </row>
    <row r="102" spans="3:16" ht="12.75" x14ac:dyDescent="0.2">
      <c r="C102" s="6"/>
      <c r="D102" s="55" t="s">
        <v>208</v>
      </c>
      <c r="E102" s="48" t="s">
        <v>209</v>
      </c>
      <c r="F102" s="22" t="s">
        <v>210</v>
      </c>
      <c r="G102" s="23">
        <f t="shared" si="0"/>
        <v>0</v>
      </c>
      <c r="H102" s="57">
        <f>H103+H106+H109+H112+H113+H114+H115</f>
        <v>0</v>
      </c>
      <c r="I102" s="57">
        <f>I103+I106+I109+I112+I113+I114+I115</f>
        <v>0</v>
      </c>
      <c r="J102" s="57">
        <f>J103+J106+J109+J112+J113+J114+J115</f>
        <v>0</v>
      </c>
      <c r="K102" s="57">
        <f>K103+K106+K109+K112+K113+K114+K115</f>
        <v>0</v>
      </c>
      <c r="L102" s="13"/>
      <c r="M102" s="24"/>
      <c r="P102" s="25"/>
    </row>
    <row r="103" spans="3:16" ht="33.75" x14ac:dyDescent="0.2">
      <c r="C103" s="6"/>
      <c r="D103" s="55" t="s">
        <v>211</v>
      </c>
      <c r="E103" s="49" t="s">
        <v>212</v>
      </c>
      <c r="F103" s="22" t="s">
        <v>213</v>
      </c>
      <c r="G103" s="23">
        <f t="shared" si="0"/>
        <v>0</v>
      </c>
      <c r="H103" s="58">
        <f>H104+H105</f>
        <v>0</v>
      </c>
      <c r="I103" s="58">
        <f>I104+I105</f>
        <v>0</v>
      </c>
      <c r="J103" s="58">
        <f>J104+J105</f>
        <v>0</v>
      </c>
      <c r="K103" s="58">
        <f>K104+K105</f>
        <v>0</v>
      </c>
      <c r="L103" s="13"/>
      <c r="M103" s="24"/>
      <c r="P103" s="25"/>
    </row>
    <row r="104" spans="3:16" ht="12.75" x14ac:dyDescent="0.2">
      <c r="C104" s="6"/>
      <c r="D104" s="55" t="s">
        <v>214</v>
      </c>
      <c r="E104" s="59" t="s">
        <v>215</v>
      </c>
      <c r="F104" s="22" t="s">
        <v>216</v>
      </c>
      <c r="G104" s="23">
        <f t="shared" si="0"/>
        <v>0</v>
      </c>
      <c r="H104" s="56"/>
      <c r="I104" s="56"/>
      <c r="J104" s="56"/>
      <c r="K104" s="56"/>
      <c r="L104" s="13"/>
      <c r="M104" s="24"/>
      <c r="P104" s="25"/>
    </row>
    <row r="105" spans="3:16" ht="12.75" x14ac:dyDescent="0.2">
      <c r="C105" s="6"/>
      <c r="D105" s="55" t="s">
        <v>217</v>
      </c>
      <c r="E105" s="59" t="s">
        <v>218</v>
      </c>
      <c r="F105" s="22" t="s">
        <v>219</v>
      </c>
      <c r="G105" s="23">
        <f t="shared" si="0"/>
        <v>0</v>
      </c>
      <c r="H105" s="56"/>
      <c r="I105" s="56"/>
      <c r="J105" s="56"/>
      <c r="K105" s="56"/>
      <c r="L105" s="13"/>
      <c r="M105" s="24"/>
      <c r="P105" s="25"/>
    </row>
    <row r="106" spans="3:16" ht="33.75" x14ac:dyDescent="0.2">
      <c r="C106" s="6"/>
      <c r="D106" s="55" t="s">
        <v>220</v>
      </c>
      <c r="E106" s="49" t="s">
        <v>221</v>
      </c>
      <c r="F106" s="22" t="s">
        <v>222</v>
      </c>
      <c r="G106" s="23">
        <f t="shared" si="0"/>
        <v>0</v>
      </c>
      <c r="H106" s="58">
        <f>H107+H108</f>
        <v>0</v>
      </c>
      <c r="I106" s="58">
        <f>I107+I108</f>
        <v>0</v>
      </c>
      <c r="J106" s="58">
        <f>J107+J108</f>
        <v>0</v>
      </c>
      <c r="K106" s="58">
        <f>K107+K108</f>
        <v>0</v>
      </c>
      <c r="L106" s="13"/>
      <c r="M106" s="24"/>
      <c r="P106" s="25"/>
    </row>
    <row r="107" spans="3:16" ht="12.75" x14ac:dyDescent="0.2">
      <c r="C107" s="6"/>
      <c r="D107" s="55" t="s">
        <v>223</v>
      </c>
      <c r="E107" s="59" t="s">
        <v>215</v>
      </c>
      <c r="F107" s="22" t="s">
        <v>224</v>
      </c>
      <c r="G107" s="23">
        <f t="shared" si="0"/>
        <v>0</v>
      </c>
      <c r="H107" s="56"/>
      <c r="I107" s="56"/>
      <c r="J107" s="56"/>
      <c r="K107" s="56"/>
      <c r="L107" s="13"/>
      <c r="M107" s="24"/>
      <c r="P107" s="25"/>
    </row>
    <row r="108" spans="3:16" ht="12.75" x14ac:dyDescent="0.2">
      <c r="C108" s="6"/>
      <c r="D108" s="55" t="s">
        <v>225</v>
      </c>
      <c r="E108" s="59" t="s">
        <v>218</v>
      </c>
      <c r="F108" s="22" t="s">
        <v>226</v>
      </c>
      <c r="G108" s="23">
        <f t="shared" si="0"/>
        <v>0</v>
      </c>
      <c r="H108" s="56"/>
      <c r="I108" s="56"/>
      <c r="J108" s="56"/>
      <c r="K108" s="56"/>
      <c r="L108" s="13"/>
      <c r="M108" s="24"/>
      <c r="P108" s="25"/>
    </row>
    <row r="109" spans="3:16" ht="22.5" x14ac:dyDescent="0.2">
      <c r="C109" s="6"/>
      <c r="D109" s="55" t="s">
        <v>227</v>
      </c>
      <c r="E109" s="49" t="s">
        <v>228</v>
      </c>
      <c r="F109" s="22" t="s">
        <v>229</v>
      </c>
      <c r="G109" s="23">
        <f t="shared" si="0"/>
        <v>0</v>
      </c>
      <c r="H109" s="58">
        <f>H110+H111</f>
        <v>0</v>
      </c>
      <c r="I109" s="58">
        <f>I110+I111</f>
        <v>0</v>
      </c>
      <c r="J109" s="58">
        <f>J110+J111</f>
        <v>0</v>
      </c>
      <c r="K109" s="58">
        <f>K110+K111</f>
        <v>0</v>
      </c>
      <c r="L109" s="13"/>
      <c r="M109" s="24"/>
      <c r="P109" s="25"/>
    </row>
    <row r="110" spans="3:16" ht="12.75" x14ac:dyDescent="0.2">
      <c r="C110" s="6"/>
      <c r="D110" s="55" t="s">
        <v>230</v>
      </c>
      <c r="E110" s="59" t="s">
        <v>215</v>
      </c>
      <c r="F110" s="22" t="s">
        <v>231</v>
      </c>
      <c r="G110" s="23">
        <f t="shared" si="0"/>
        <v>0</v>
      </c>
      <c r="H110" s="56"/>
      <c r="I110" s="56"/>
      <c r="J110" s="56"/>
      <c r="K110" s="56"/>
      <c r="L110" s="13"/>
      <c r="M110" s="24"/>
      <c r="P110" s="25"/>
    </row>
    <row r="111" spans="3:16" ht="12.75" x14ac:dyDescent="0.2">
      <c r="C111" s="6"/>
      <c r="D111" s="55" t="s">
        <v>232</v>
      </c>
      <c r="E111" s="59" t="s">
        <v>218</v>
      </c>
      <c r="F111" s="22" t="s">
        <v>233</v>
      </c>
      <c r="G111" s="23">
        <f t="shared" si="0"/>
        <v>0</v>
      </c>
      <c r="H111" s="56"/>
      <c r="I111" s="56"/>
      <c r="J111" s="56"/>
      <c r="K111" s="56"/>
      <c r="L111" s="13"/>
      <c r="M111" s="24"/>
      <c r="P111" s="25"/>
    </row>
    <row r="112" spans="3:16" ht="12.75" x14ac:dyDescent="0.2">
      <c r="C112" s="6"/>
      <c r="D112" s="55" t="s">
        <v>234</v>
      </c>
      <c r="E112" s="49" t="s">
        <v>235</v>
      </c>
      <c r="F112" s="22" t="s">
        <v>236</v>
      </c>
      <c r="G112" s="23">
        <f t="shared" si="0"/>
        <v>0</v>
      </c>
      <c r="H112" s="56"/>
      <c r="I112" s="56"/>
      <c r="J112" s="56"/>
      <c r="K112" s="56"/>
      <c r="L112" s="13"/>
      <c r="M112" s="24"/>
      <c r="P112" s="25"/>
    </row>
    <row r="113" spans="3:16" ht="12.75" x14ac:dyDescent="0.2">
      <c r="C113" s="6"/>
      <c r="D113" s="55" t="s">
        <v>237</v>
      </c>
      <c r="E113" s="49" t="s">
        <v>238</v>
      </c>
      <c r="F113" s="22" t="s">
        <v>239</v>
      </c>
      <c r="G113" s="23">
        <f t="shared" si="0"/>
        <v>0</v>
      </c>
      <c r="H113" s="56"/>
      <c r="I113" s="56"/>
      <c r="J113" s="56"/>
      <c r="K113" s="56"/>
      <c r="L113" s="13"/>
      <c r="M113" s="24"/>
      <c r="P113" s="25"/>
    </row>
    <row r="114" spans="3:16" ht="33.75" x14ac:dyDescent="0.2">
      <c r="C114" s="6"/>
      <c r="D114" s="55" t="s">
        <v>240</v>
      </c>
      <c r="E114" s="49" t="s">
        <v>241</v>
      </c>
      <c r="F114" s="22" t="s">
        <v>242</v>
      </c>
      <c r="G114" s="23">
        <f t="shared" si="0"/>
        <v>0</v>
      </c>
      <c r="H114" s="56"/>
      <c r="I114" s="56"/>
      <c r="J114" s="56"/>
      <c r="K114" s="56"/>
      <c r="L114" s="13"/>
      <c r="M114" s="24"/>
      <c r="P114" s="25"/>
    </row>
    <row r="115" spans="3:16" ht="22.5" x14ac:dyDescent="0.2">
      <c r="C115" s="6"/>
      <c r="D115" s="55" t="s">
        <v>243</v>
      </c>
      <c r="E115" s="49" t="s">
        <v>244</v>
      </c>
      <c r="F115" s="22" t="s">
        <v>245</v>
      </c>
      <c r="G115" s="23">
        <f t="shared" si="0"/>
        <v>0</v>
      </c>
      <c r="H115" s="56"/>
      <c r="I115" s="56"/>
      <c r="J115" s="56"/>
      <c r="K115" s="56"/>
      <c r="L115" s="13"/>
      <c r="M115" s="24"/>
      <c r="P115" s="25"/>
    </row>
    <row r="116" spans="3:16" ht="12.75" x14ac:dyDescent="0.2">
      <c r="C116" s="6"/>
      <c r="D116" s="55" t="s">
        <v>246</v>
      </c>
      <c r="E116" s="26" t="s">
        <v>247</v>
      </c>
      <c r="F116" s="22" t="s">
        <v>248</v>
      </c>
      <c r="G116" s="23">
        <f t="shared" si="0"/>
        <v>0</v>
      </c>
      <c r="H116" s="57">
        <f>H119</f>
        <v>0</v>
      </c>
      <c r="I116" s="57">
        <f>I119</f>
        <v>0</v>
      </c>
      <c r="J116" s="57">
        <f>J119</f>
        <v>0</v>
      </c>
      <c r="K116" s="57">
        <f>K119</f>
        <v>0</v>
      </c>
      <c r="L116" s="13"/>
      <c r="M116" s="24"/>
      <c r="P116" s="25">
        <v>770</v>
      </c>
    </row>
    <row r="117" spans="3:16" ht="12.75" x14ac:dyDescent="0.2">
      <c r="C117" s="6"/>
      <c r="D117" s="55" t="s">
        <v>249</v>
      </c>
      <c r="E117" s="48" t="s">
        <v>191</v>
      </c>
      <c r="F117" s="22" t="s">
        <v>250</v>
      </c>
      <c r="G117" s="23">
        <f t="shared" si="0"/>
        <v>0</v>
      </c>
      <c r="H117" s="56"/>
      <c r="I117" s="56"/>
      <c r="J117" s="56"/>
      <c r="K117" s="56"/>
      <c r="L117" s="13"/>
      <c r="M117" s="24"/>
      <c r="P117" s="25">
        <v>780</v>
      </c>
    </row>
    <row r="118" spans="3:16" ht="12.75" x14ac:dyDescent="0.2">
      <c r="C118" s="6"/>
      <c r="D118" s="55" t="s">
        <v>251</v>
      </c>
      <c r="E118" s="49" t="s">
        <v>252</v>
      </c>
      <c r="F118" s="22" t="s">
        <v>253</v>
      </c>
      <c r="G118" s="23">
        <f t="shared" si="0"/>
        <v>0</v>
      </c>
      <c r="H118" s="56"/>
      <c r="I118" s="56"/>
      <c r="J118" s="56"/>
      <c r="K118" s="56"/>
      <c r="L118" s="13"/>
      <c r="M118" s="24"/>
      <c r="P118" s="25"/>
    </row>
    <row r="119" spans="3:16" ht="12.75" x14ac:dyDescent="0.2">
      <c r="C119" s="6"/>
      <c r="D119" s="55" t="s">
        <v>254</v>
      </c>
      <c r="E119" s="48" t="s">
        <v>197</v>
      </c>
      <c r="F119" s="22" t="s">
        <v>255</v>
      </c>
      <c r="G119" s="23">
        <f t="shared" si="0"/>
        <v>0</v>
      </c>
      <c r="H119" s="56"/>
      <c r="I119" s="56"/>
      <c r="J119" s="56"/>
      <c r="K119" s="56"/>
      <c r="L119" s="13"/>
      <c r="M119" s="24"/>
      <c r="P119" s="25">
        <v>790</v>
      </c>
    </row>
    <row r="120" spans="3:16" ht="12.75" x14ac:dyDescent="0.2">
      <c r="C120" s="6"/>
      <c r="D120" s="55" t="s">
        <v>256</v>
      </c>
      <c r="E120" s="46" t="s">
        <v>257</v>
      </c>
      <c r="F120" s="22" t="s">
        <v>258</v>
      </c>
      <c r="G120" s="23">
        <f t="shared" si="0"/>
        <v>1709.5159999999998</v>
      </c>
      <c r="H120" s="57">
        <f>SUM(H121:H122)</f>
        <v>0</v>
      </c>
      <c r="I120" s="57">
        <f>SUM(I121:I122)</f>
        <v>0</v>
      </c>
      <c r="J120" s="57">
        <f>SUM(J121:J122)</f>
        <v>201.821</v>
      </c>
      <c r="K120" s="57">
        <f>SUM(K121:K122)</f>
        <v>1507.6949999999999</v>
      </c>
      <c r="L120" s="13"/>
      <c r="M120" s="24"/>
      <c r="P120" s="25"/>
    </row>
    <row r="121" spans="3:16" ht="12.75" x14ac:dyDescent="0.2">
      <c r="C121" s="6"/>
      <c r="D121" s="55" t="s">
        <v>259</v>
      </c>
      <c r="E121" s="26" t="s">
        <v>185</v>
      </c>
      <c r="F121" s="22" t="s">
        <v>260</v>
      </c>
      <c r="G121" s="23">
        <f t="shared" si="0"/>
        <v>1709.5159999999998</v>
      </c>
      <c r="H121" s="56"/>
      <c r="I121" s="56"/>
      <c r="J121" s="56">
        <f>J36</f>
        <v>201.821</v>
      </c>
      <c r="K121" s="56">
        <f>K36</f>
        <v>1507.6949999999999</v>
      </c>
      <c r="L121" s="13"/>
      <c r="M121" s="24"/>
      <c r="P121" s="25"/>
    </row>
    <row r="122" spans="3:16" ht="12.75" x14ac:dyDescent="0.2">
      <c r="C122" s="6"/>
      <c r="D122" s="55" t="s">
        <v>261</v>
      </c>
      <c r="E122" s="26" t="s">
        <v>188</v>
      </c>
      <c r="F122" s="22" t="s">
        <v>262</v>
      </c>
      <c r="G122" s="23">
        <f t="shared" si="0"/>
        <v>0</v>
      </c>
      <c r="H122" s="57">
        <f>H124</f>
        <v>0</v>
      </c>
      <c r="I122" s="57">
        <f>I124</f>
        <v>0</v>
      </c>
      <c r="J122" s="57">
        <f>J124</f>
        <v>0</v>
      </c>
      <c r="K122" s="57">
        <f>K124</f>
        <v>0</v>
      </c>
      <c r="L122" s="13"/>
      <c r="M122" s="24"/>
      <c r="P122" s="25"/>
    </row>
    <row r="123" spans="3:16" ht="12.75" x14ac:dyDescent="0.2">
      <c r="C123" s="6"/>
      <c r="D123" s="55" t="s">
        <v>263</v>
      </c>
      <c r="E123" s="48" t="s">
        <v>264</v>
      </c>
      <c r="F123" s="22" t="s">
        <v>265</v>
      </c>
      <c r="G123" s="23">
        <f t="shared" si="0"/>
        <v>0</v>
      </c>
      <c r="H123" s="56"/>
      <c r="I123" s="56"/>
      <c r="J123" s="56"/>
      <c r="K123" s="56"/>
      <c r="L123" s="13"/>
      <c r="M123" s="24"/>
      <c r="P123" s="25"/>
    </row>
    <row r="124" spans="3:16" ht="12.75" x14ac:dyDescent="0.2">
      <c r="C124" s="6"/>
      <c r="D124" s="55" t="s">
        <v>266</v>
      </c>
      <c r="E124" s="48" t="s">
        <v>197</v>
      </c>
      <c r="F124" s="22" t="s">
        <v>267</v>
      </c>
      <c r="G124" s="23">
        <f t="shared" si="0"/>
        <v>0</v>
      </c>
      <c r="H124" s="56"/>
      <c r="I124" s="56"/>
      <c r="J124" s="56"/>
      <c r="K124" s="56"/>
      <c r="L124" s="13"/>
      <c r="M124" s="24"/>
      <c r="P124" s="25"/>
    </row>
    <row r="125" spans="3:16" ht="12.75" x14ac:dyDescent="0.2">
      <c r="C125" s="6"/>
      <c r="D125" s="87" t="s">
        <v>268</v>
      </c>
      <c r="E125" s="88"/>
      <c r="F125" s="88"/>
      <c r="G125" s="88"/>
      <c r="H125" s="88"/>
      <c r="I125" s="88"/>
      <c r="J125" s="88"/>
      <c r="K125" s="89"/>
      <c r="L125" s="13"/>
      <c r="M125" s="24"/>
      <c r="P125" s="60"/>
    </row>
    <row r="126" spans="3:16" ht="22.5" x14ac:dyDescent="0.2">
      <c r="C126" s="6"/>
      <c r="D126" s="55" t="s">
        <v>269</v>
      </c>
      <c r="E126" s="21" t="s">
        <v>270</v>
      </c>
      <c r="F126" s="22" t="s">
        <v>271</v>
      </c>
      <c r="G126" s="23">
        <f t="shared" si="0"/>
        <v>0</v>
      </c>
      <c r="H126" s="57">
        <f>SUM( H127:H128)</f>
        <v>0</v>
      </c>
      <c r="I126" s="57">
        <f>SUM( I127:I128)</f>
        <v>0</v>
      </c>
      <c r="J126" s="57">
        <f>SUM( J127:J128)</f>
        <v>0</v>
      </c>
      <c r="K126" s="57">
        <f>SUM( K127:K128)</f>
        <v>0</v>
      </c>
      <c r="L126" s="13"/>
      <c r="M126" s="24"/>
      <c r="P126" s="25">
        <v>800</v>
      </c>
    </row>
    <row r="127" spans="3:16" ht="12.75" x14ac:dyDescent="0.2">
      <c r="C127" s="6"/>
      <c r="D127" s="55" t="s">
        <v>272</v>
      </c>
      <c r="E127" s="26" t="s">
        <v>185</v>
      </c>
      <c r="F127" s="22" t="s">
        <v>273</v>
      </c>
      <c r="G127" s="23">
        <f t="shared" si="0"/>
        <v>0</v>
      </c>
      <c r="H127" s="56"/>
      <c r="I127" s="56"/>
      <c r="J127" s="56"/>
      <c r="K127" s="56"/>
      <c r="L127" s="13"/>
      <c r="M127" s="24"/>
      <c r="P127" s="25">
        <v>810</v>
      </c>
    </row>
    <row r="128" spans="3:16" ht="12.75" x14ac:dyDescent="0.2">
      <c r="C128" s="6"/>
      <c r="D128" s="55" t="s">
        <v>274</v>
      </c>
      <c r="E128" s="26" t="s">
        <v>188</v>
      </c>
      <c r="F128" s="22" t="s">
        <v>275</v>
      </c>
      <c r="G128" s="23">
        <f t="shared" si="0"/>
        <v>0</v>
      </c>
      <c r="H128" s="57">
        <f>H129+H131</f>
        <v>0</v>
      </c>
      <c r="I128" s="57">
        <f>I129+I131</f>
        <v>0</v>
      </c>
      <c r="J128" s="57">
        <f>J129+J131</f>
        <v>0</v>
      </c>
      <c r="K128" s="57">
        <f>K129+K131</f>
        <v>0</v>
      </c>
      <c r="L128" s="13"/>
      <c r="M128" s="24"/>
      <c r="P128" s="25">
        <v>820</v>
      </c>
    </row>
    <row r="129" spans="3:16" ht="12.75" x14ac:dyDescent="0.2">
      <c r="C129" s="6"/>
      <c r="D129" s="55" t="s">
        <v>276</v>
      </c>
      <c r="E129" s="48" t="s">
        <v>277</v>
      </c>
      <c r="F129" s="22" t="s">
        <v>278</v>
      </c>
      <c r="G129" s="23">
        <f t="shared" si="0"/>
        <v>0</v>
      </c>
      <c r="H129" s="56"/>
      <c r="I129" s="56"/>
      <c r="J129" s="56"/>
      <c r="K129" s="56"/>
      <c r="L129" s="13"/>
      <c r="M129" s="24"/>
      <c r="P129" s="25">
        <v>830</v>
      </c>
    </row>
    <row r="130" spans="3:16" ht="12.75" x14ac:dyDescent="0.2">
      <c r="C130" s="6"/>
      <c r="D130" s="55" t="s">
        <v>279</v>
      </c>
      <c r="E130" s="49" t="s">
        <v>280</v>
      </c>
      <c r="F130" s="22" t="s">
        <v>281</v>
      </c>
      <c r="G130" s="23">
        <f t="shared" si="0"/>
        <v>0</v>
      </c>
      <c r="H130" s="56"/>
      <c r="I130" s="56"/>
      <c r="J130" s="56"/>
      <c r="K130" s="56"/>
      <c r="L130" s="13"/>
      <c r="M130" s="24"/>
      <c r="P130" s="60"/>
    </row>
    <row r="131" spans="3:16" ht="12.75" x14ac:dyDescent="0.2">
      <c r="C131" s="6"/>
      <c r="D131" s="55" t="s">
        <v>282</v>
      </c>
      <c r="E131" s="48" t="s">
        <v>283</v>
      </c>
      <c r="F131" s="22" t="s">
        <v>284</v>
      </c>
      <c r="G131" s="23">
        <f t="shared" si="0"/>
        <v>0</v>
      </c>
      <c r="H131" s="56"/>
      <c r="I131" s="56"/>
      <c r="J131" s="56"/>
      <c r="K131" s="56"/>
      <c r="L131" s="13"/>
      <c r="M131" s="24"/>
      <c r="P131" s="25">
        <v>840</v>
      </c>
    </row>
    <row r="132" spans="3:16" ht="12.75" x14ac:dyDescent="0.2">
      <c r="C132" s="6"/>
      <c r="D132" s="55" t="s">
        <v>30</v>
      </c>
      <c r="E132" s="21" t="s">
        <v>285</v>
      </c>
      <c r="F132" s="22" t="s">
        <v>286</v>
      </c>
      <c r="G132" s="23">
        <f t="shared" si="0"/>
        <v>0</v>
      </c>
      <c r="H132" s="58">
        <f>SUM( H133+H138)</f>
        <v>0</v>
      </c>
      <c r="I132" s="58">
        <f>SUM( I133+I138)</f>
        <v>0</v>
      </c>
      <c r="J132" s="58">
        <f>SUM( J133+J138)</f>
        <v>0</v>
      </c>
      <c r="K132" s="58">
        <f>SUM( K133+K138)</f>
        <v>0</v>
      </c>
      <c r="L132" s="61"/>
      <c r="M132" s="24"/>
      <c r="P132" s="25">
        <v>850</v>
      </c>
    </row>
    <row r="133" spans="3:16" ht="12.75" x14ac:dyDescent="0.2">
      <c r="C133" s="6"/>
      <c r="D133" s="55" t="s">
        <v>287</v>
      </c>
      <c r="E133" s="26" t="s">
        <v>185</v>
      </c>
      <c r="F133" s="22" t="s">
        <v>288</v>
      </c>
      <c r="G133" s="23">
        <f t="shared" ref="G133:G146" si="1">SUM(H133:K133)</f>
        <v>0</v>
      </c>
      <c r="H133" s="58">
        <f>SUM( H134:H135)</f>
        <v>0</v>
      </c>
      <c r="I133" s="58">
        <f>SUM( I134:I135)</f>
        <v>0</v>
      </c>
      <c r="J133" s="58">
        <f>SUM( J134:J135)</f>
        <v>0</v>
      </c>
      <c r="K133" s="58">
        <f>SUM( K134:K135)</f>
        <v>0</v>
      </c>
      <c r="L133" s="61"/>
      <c r="M133" s="24"/>
      <c r="P133" s="25">
        <v>860</v>
      </c>
    </row>
    <row r="134" spans="3:16" ht="12.75" x14ac:dyDescent="0.2">
      <c r="C134" s="6"/>
      <c r="D134" s="55" t="s">
        <v>289</v>
      </c>
      <c r="E134" s="48" t="s">
        <v>206</v>
      </c>
      <c r="F134" s="22" t="s">
        <v>290</v>
      </c>
      <c r="G134" s="23">
        <f t="shared" si="1"/>
        <v>0</v>
      </c>
      <c r="H134" s="62"/>
      <c r="I134" s="62"/>
      <c r="J134" s="62"/>
      <c r="K134" s="62"/>
      <c r="L134" s="61"/>
      <c r="M134" s="24"/>
      <c r="P134" s="25"/>
    </row>
    <row r="135" spans="3:16" ht="12.75" x14ac:dyDescent="0.2">
      <c r="C135" s="6"/>
      <c r="D135" s="55" t="s">
        <v>291</v>
      </c>
      <c r="E135" s="48" t="s">
        <v>209</v>
      </c>
      <c r="F135" s="22" t="s">
        <v>292</v>
      </c>
      <c r="G135" s="23">
        <f t="shared" si="1"/>
        <v>0</v>
      </c>
      <c r="H135" s="58">
        <f>H136+H137</f>
        <v>0</v>
      </c>
      <c r="I135" s="58">
        <f>I136+I137</f>
        <v>0</v>
      </c>
      <c r="J135" s="58">
        <f>J136+J137</f>
        <v>0</v>
      </c>
      <c r="K135" s="58">
        <f>K136+K137</f>
        <v>0</v>
      </c>
      <c r="L135" s="61"/>
      <c r="M135" s="24"/>
      <c r="P135" s="25"/>
    </row>
    <row r="136" spans="3:16" ht="12.75" x14ac:dyDescent="0.2">
      <c r="C136" s="6"/>
      <c r="D136" s="55" t="s">
        <v>293</v>
      </c>
      <c r="E136" s="49" t="s">
        <v>215</v>
      </c>
      <c r="F136" s="22" t="s">
        <v>294</v>
      </c>
      <c r="G136" s="23">
        <f t="shared" si="1"/>
        <v>0</v>
      </c>
      <c r="H136" s="62"/>
      <c r="I136" s="62"/>
      <c r="J136" s="62"/>
      <c r="K136" s="62"/>
      <c r="L136" s="61"/>
      <c r="M136" s="24"/>
      <c r="P136" s="25"/>
    </row>
    <row r="137" spans="3:16" ht="12.75" x14ac:dyDescent="0.2">
      <c r="C137" s="6"/>
      <c r="D137" s="55" t="s">
        <v>295</v>
      </c>
      <c r="E137" s="49" t="s">
        <v>296</v>
      </c>
      <c r="F137" s="22" t="s">
        <v>297</v>
      </c>
      <c r="G137" s="23">
        <f t="shared" si="1"/>
        <v>0</v>
      </c>
      <c r="H137" s="62"/>
      <c r="I137" s="62"/>
      <c r="J137" s="62"/>
      <c r="K137" s="62"/>
      <c r="L137" s="61"/>
      <c r="M137" s="24"/>
      <c r="P137" s="25"/>
    </row>
    <row r="138" spans="3:16" ht="12.75" x14ac:dyDescent="0.2">
      <c r="C138" s="6"/>
      <c r="D138" s="55" t="s">
        <v>298</v>
      </c>
      <c r="E138" s="26" t="s">
        <v>247</v>
      </c>
      <c r="F138" s="22" t="s">
        <v>299</v>
      </c>
      <c r="G138" s="23">
        <f t="shared" si="1"/>
        <v>0</v>
      </c>
      <c r="H138" s="58">
        <f>H139+H141</f>
        <v>0</v>
      </c>
      <c r="I138" s="58">
        <f>I139+I141</f>
        <v>0</v>
      </c>
      <c r="J138" s="58">
        <f>J139+J141</f>
        <v>0</v>
      </c>
      <c r="K138" s="58">
        <f>K139+K141</f>
        <v>0</v>
      </c>
      <c r="L138" s="61"/>
      <c r="M138" s="24"/>
      <c r="P138" s="25">
        <v>870</v>
      </c>
    </row>
    <row r="139" spans="3:16" ht="12.75" x14ac:dyDescent="0.2">
      <c r="C139" s="6"/>
      <c r="D139" s="55" t="s">
        <v>300</v>
      </c>
      <c r="E139" s="48" t="s">
        <v>277</v>
      </c>
      <c r="F139" s="22" t="s">
        <v>301</v>
      </c>
      <c r="G139" s="23">
        <f t="shared" si="1"/>
        <v>0</v>
      </c>
      <c r="H139" s="56"/>
      <c r="I139" s="56"/>
      <c r="J139" s="56"/>
      <c r="K139" s="56"/>
      <c r="L139" s="61"/>
      <c r="M139" s="24"/>
      <c r="P139" s="25">
        <v>880</v>
      </c>
    </row>
    <row r="140" spans="3:16" ht="12.75" x14ac:dyDescent="0.2">
      <c r="C140" s="6"/>
      <c r="D140" s="55" t="s">
        <v>302</v>
      </c>
      <c r="E140" s="49" t="s">
        <v>280</v>
      </c>
      <c r="F140" s="22" t="s">
        <v>303</v>
      </c>
      <c r="G140" s="23">
        <f t="shared" si="1"/>
        <v>0</v>
      </c>
      <c r="H140" s="56"/>
      <c r="I140" s="56"/>
      <c r="J140" s="56"/>
      <c r="K140" s="56"/>
      <c r="L140" s="61"/>
      <c r="M140" s="24"/>
      <c r="P140" s="25"/>
    </row>
    <row r="141" spans="3:16" ht="12.75" x14ac:dyDescent="0.2">
      <c r="C141" s="6"/>
      <c r="D141" s="55" t="s">
        <v>304</v>
      </c>
      <c r="E141" s="48" t="s">
        <v>283</v>
      </c>
      <c r="F141" s="22" t="s">
        <v>305</v>
      </c>
      <c r="G141" s="23">
        <f t="shared" si="1"/>
        <v>0</v>
      </c>
      <c r="H141" s="63"/>
      <c r="I141" s="63"/>
      <c r="J141" s="63"/>
      <c r="K141" s="63"/>
      <c r="L141" s="61"/>
      <c r="M141" s="24"/>
      <c r="P141" s="25">
        <v>890</v>
      </c>
    </row>
    <row r="142" spans="3:16" ht="12.75" x14ac:dyDescent="0.2">
      <c r="C142" s="6"/>
      <c r="D142" s="55" t="s">
        <v>306</v>
      </c>
      <c r="E142" s="21" t="s">
        <v>307</v>
      </c>
      <c r="F142" s="22" t="s">
        <v>308</v>
      </c>
      <c r="G142" s="23">
        <f t="shared" si="1"/>
        <v>2506.1504559999998</v>
      </c>
      <c r="H142" s="64">
        <f>SUM( H143:H144)</f>
        <v>0</v>
      </c>
      <c r="I142" s="64">
        <f>SUM( I143:I144)</f>
        <v>0</v>
      </c>
      <c r="J142" s="64">
        <f>SUM( J143:J144)</f>
        <v>295.86958599999997</v>
      </c>
      <c r="K142" s="64">
        <f>SUM( K143:K144)</f>
        <v>2210.28087</v>
      </c>
      <c r="L142" s="61"/>
      <c r="M142" s="24"/>
      <c r="P142" s="25">
        <v>900</v>
      </c>
    </row>
    <row r="143" spans="3:16" ht="12.75" x14ac:dyDescent="0.2">
      <c r="C143" s="6"/>
      <c r="D143" s="55" t="s">
        <v>309</v>
      </c>
      <c r="E143" s="26" t="s">
        <v>185</v>
      </c>
      <c r="F143" s="22" t="s">
        <v>310</v>
      </c>
      <c r="G143" s="23">
        <f t="shared" si="1"/>
        <v>2506.1504559999998</v>
      </c>
      <c r="H143" s="63"/>
      <c r="I143" s="63"/>
      <c r="J143" s="65">
        <f>J121*1.466</f>
        <v>295.86958599999997</v>
      </c>
      <c r="K143" s="65">
        <f>K121*1.466</f>
        <v>2210.28087</v>
      </c>
      <c r="L143" s="61"/>
      <c r="M143" s="24"/>
      <c r="P143" s="25"/>
    </row>
    <row r="144" spans="3:16" ht="12.75" x14ac:dyDescent="0.2">
      <c r="C144" s="6"/>
      <c r="D144" s="55" t="s">
        <v>311</v>
      </c>
      <c r="E144" s="26" t="s">
        <v>188</v>
      </c>
      <c r="F144" s="22" t="s">
        <v>312</v>
      </c>
      <c r="G144" s="23">
        <f t="shared" si="1"/>
        <v>0</v>
      </c>
      <c r="H144" s="64">
        <f>H145+H146</f>
        <v>0</v>
      </c>
      <c r="I144" s="64">
        <f>I145+I146</f>
        <v>0</v>
      </c>
      <c r="J144" s="64">
        <f>J145+J146</f>
        <v>0</v>
      </c>
      <c r="K144" s="64">
        <f>K145+K146</f>
        <v>0</v>
      </c>
      <c r="L144" s="61"/>
      <c r="M144" s="24"/>
      <c r="P144" s="25"/>
    </row>
    <row r="145" spans="3:19" ht="12.75" x14ac:dyDescent="0.2">
      <c r="C145" s="6"/>
      <c r="D145" s="55" t="s">
        <v>313</v>
      </c>
      <c r="E145" s="48" t="s">
        <v>314</v>
      </c>
      <c r="F145" s="22" t="s">
        <v>315</v>
      </c>
      <c r="G145" s="23">
        <f t="shared" si="1"/>
        <v>0</v>
      </c>
      <c r="H145" s="63"/>
      <c r="I145" s="63"/>
      <c r="J145" s="63"/>
      <c r="K145" s="63"/>
      <c r="L145" s="61"/>
      <c r="M145" s="24"/>
      <c r="P145" s="25" t="s">
        <v>316</v>
      </c>
    </row>
    <row r="146" spans="3:19" ht="12.75" x14ac:dyDescent="0.2">
      <c r="C146" s="6"/>
      <c r="D146" s="55" t="s">
        <v>317</v>
      </c>
      <c r="E146" s="48" t="s">
        <v>283</v>
      </c>
      <c r="F146" s="22" t="s">
        <v>318</v>
      </c>
      <c r="G146" s="23">
        <f t="shared" si="1"/>
        <v>0</v>
      </c>
      <c r="H146" s="63"/>
      <c r="I146" s="63"/>
      <c r="J146" s="63"/>
      <c r="K146" s="66"/>
      <c r="L146" s="61"/>
      <c r="M146" s="24"/>
      <c r="P146" s="25" t="s">
        <v>319</v>
      </c>
    </row>
    <row r="147" spans="3:19" x14ac:dyDescent="0.25">
      <c r="D147" s="11"/>
      <c r="E147" s="67"/>
      <c r="F147" s="67"/>
      <c r="G147" s="67"/>
      <c r="H147" s="67"/>
      <c r="I147" s="67"/>
      <c r="J147" s="67"/>
      <c r="K147" s="68"/>
      <c r="L147" s="68"/>
      <c r="M147" s="68"/>
      <c r="N147" s="68"/>
      <c r="O147" s="68"/>
      <c r="P147" s="68"/>
      <c r="Q147" s="68"/>
      <c r="R147" s="69"/>
      <c r="S147" s="69"/>
    </row>
    <row r="148" spans="3:19" ht="12.75" x14ac:dyDescent="0.2">
      <c r="E148" s="24" t="s">
        <v>320</v>
      </c>
      <c r="F148" s="79" t="str">
        <f>IF([10]Титульный!G45="","",[10]Титульный!G45)</f>
        <v>Коммерческий директор</v>
      </c>
      <c r="G148" s="79"/>
      <c r="H148" s="70"/>
      <c r="I148" s="79" t="str">
        <f>IF([10]Титульный!G44="","",[10]Титульный!G44)</f>
        <v>Байков Алексей Александрович</v>
      </c>
      <c r="J148" s="79"/>
      <c r="K148" s="79"/>
      <c r="L148" s="70"/>
      <c r="M148" s="71"/>
      <c r="N148" s="71"/>
      <c r="O148" s="72"/>
      <c r="P148" s="68"/>
      <c r="Q148" s="68"/>
      <c r="R148" s="69"/>
      <c r="S148" s="69"/>
    </row>
    <row r="149" spans="3:19" ht="12.75" x14ac:dyDescent="0.2">
      <c r="E149" s="73" t="s">
        <v>321</v>
      </c>
      <c r="F149" s="78" t="s">
        <v>322</v>
      </c>
      <c r="G149" s="78"/>
      <c r="H149" s="72"/>
      <c r="I149" s="78" t="s">
        <v>323</v>
      </c>
      <c r="J149" s="78"/>
      <c r="K149" s="78"/>
      <c r="L149" s="72"/>
      <c r="M149" s="78" t="s">
        <v>324</v>
      </c>
      <c r="N149" s="78"/>
      <c r="O149" s="24"/>
      <c r="P149" s="68"/>
      <c r="Q149" s="68"/>
      <c r="R149" s="69"/>
      <c r="S149" s="69"/>
    </row>
    <row r="150" spans="3:19" ht="12.75" x14ac:dyDescent="0.2">
      <c r="E150" s="73" t="s">
        <v>325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68"/>
      <c r="Q150" s="68"/>
      <c r="R150" s="69"/>
      <c r="S150" s="69"/>
    </row>
    <row r="151" spans="3:19" ht="12.75" x14ac:dyDescent="0.2">
      <c r="E151" s="73" t="s">
        <v>326</v>
      </c>
      <c r="F151" s="79" t="str">
        <f>IF([10]Титульный!G46="","",[10]Титульный!G46)</f>
        <v>(495) 637 3220</v>
      </c>
      <c r="G151" s="79"/>
      <c r="H151" s="79"/>
      <c r="I151" s="24"/>
      <c r="J151" s="73" t="s">
        <v>327</v>
      </c>
      <c r="K151" s="76"/>
      <c r="L151" s="24"/>
      <c r="M151" s="24"/>
      <c r="N151" s="24"/>
      <c r="O151" s="24"/>
      <c r="P151" s="68"/>
      <c r="Q151" s="68"/>
      <c r="R151" s="69"/>
      <c r="S151" s="69"/>
    </row>
    <row r="152" spans="3:19" ht="12.75" x14ac:dyDescent="0.2">
      <c r="E152" s="24" t="s">
        <v>328</v>
      </c>
      <c r="F152" s="80" t="s">
        <v>329</v>
      </c>
      <c r="G152" s="80"/>
      <c r="H152" s="80"/>
      <c r="I152" s="24"/>
      <c r="J152" s="75" t="s">
        <v>330</v>
      </c>
      <c r="K152" s="75"/>
      <c r="L152" s="24"/>
      <c r="M152" s="24"/>
      <c r="N152" s="24"/>
      <c r="O152" s="24"/>
      <c r="P152" s="68"/>
      <c r="Q152" s="68"/>
      <c r="R152" s="69"/>
      <c r="S152" s="69"/>
    </row>
    <row r="153" spans="3:19" x14ac:dyDescent="0.25"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9"/>
      <c r="S153" s="69"/>
    </row>
    <row r="154" spans="3:19" x14ac:dyDescent="0.25"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9"/>
      <c r="S154" s="69"/>
    </row>
    <row r="155" spans="3:19" x14ac:dyDescent="0.25"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9"/>
      <c r="S155" s="69"/>
    </row>
    <row r="156" spans="3:19" x14ac:dyDescent="0.25"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9"/>
      <c r="S156" s="69"/>
    </row>
    <row r="157" spans="3:19" x14ac:dyDescent="0.25"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9"/>
      <c r="S157" s="69"/>
    </row>
    <row r="158" spans="3:19" x14ac:dyDescent="0.25"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9"/>
      <c r="S158" s="69"/>
    </row>
    <row r="159" spans="3:19" x14ac:dyDescent="0.25"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  <c r="S159" s="69"/>
    </row>
    <row r="160" spans="3:19" x14ac:dyDescent="0.25"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9"/>
      <c r="S160" s="69"/>
    </row>
    <row r="161" spans="5:19" x14ac:dyDescent="0.25"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9"/>
      <c r="S161" s="69"/>
    </row>
    <row r="162" spans="5:19" x14ac:dyDescent="0.25"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9"/>
      <c r="S162" s="69"/>
    </row>
    <row r="163" spans="5:19" x14ac:dyDescent="0.25"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9"/>
      <c r="S163" s="69"/>
    </row>
    <row r="164" spans="5:19" x14ac:dyDescent="0.25"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9"/>
      <c r="S164" s="69"/>
    </row>
    <row r="165" spans="5:19" x14ac:dyDescent="0.25"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9"/>
      <c r="S165" s="69"/>
    </row>
    <row r="166" spans="5:19" x14ac:dyDescent="0.25"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9"/>
      <c r="S166" s="69"/>
    </row>
    <row r="167" spans="5:19" x14ac:dyDescent="0.25"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9"/>
      <c r="S167" s="69"/>
    </row>
    <row r="168" spans="5:19" x14ac:dyDescent="0.25"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9"/>
      <c r="S168" s="69"/>
    </row>
    <row r="169" spans="5:19" x14ac:dyDescent="0.25"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9"/>
      <c r="S169" s="69"/>
    </row>
    <row r="170" spans="5:19" x14ac:dyDescent="0.25"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9"/>
      <c r="S170" s="69"/>
    </row>
    <row r="171" spans="5:19" x14ac:dyDescent="0.25"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9"/>
      <c r="S171" s="69"/>
    </row>
    <row r="172" spans="5:19" x14ac:dyDescent="0.25"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9"/>
      <c r="S172" s="69"/>
    </row>
    <row r="173" spans="5:19" x14ac:dyDescent="0.25"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9"/>
      <c r="S173" s="69"/>
    </row>
    <row r="174" spans="5:19" x14ac:dyDescent="0.25"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9"/>
      <c r="S174" s="69"/>
    </row>
    <row r="175" spans="5:19" x14ac:dyDescent="0.25"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9"/>
      <c r="S175" s="69"/>
    </row>
    <row r="176" spans="5:19" x14ac:dyDescent="0.25"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9"/>
      <c r="S176" s="69"/>
    </row>
    <row r="177" spans="5:19" x14ac:dyDescent="0.25"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9"/>
      <c r="S177" s="69"/>
    </row>
    <row r="178" spans="5:19" x14ac:dyDescent="0.25"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</row>
    <row r="179" spans="5:19" x14ac:dyDescent="0.25"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5:19" x14ac:dyDescent="0.25"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5:19" x14ac:dyDescent="0.25"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</sheetData>
  <mergeCells count="18">
    <mergeCell ref="F148:G148"/>
    <mergeCell ref="I148:K148"/>
    <mergeCell ref="D8:E8"/>
    <mergeCell ref="D11:D12"/>
    <mergeCell ref="E11:E12"/>
    <mergeCell ref="F11:F12"/>
    <mergeCell ref="G11:G12"/>
    <mergeCell ref="H11:K11"/>
    <mergeCell ref="D14:K14"/>
    <mergeCell ref="D51:K51"/>
    <mergeCell ref="D88:K88"/>
    <mergeCell ref="D92:K92"/>
    <mergeCell ref="D125:K125"/>
    <mergeCell ref="F149:G149"/>
    <mergeCell ref="I149:K149"/>
    <mergeCell ref="M149:N149"/>
    <mergeCell ref="F151:H151"/>
    <mergeCell ref="F152:H152"/>
  </mergeCells>
  <dataValidations count="2">
    <dataValidation allowBlank="1" showInputMessage="1" promptTitle="Ввод" prompt="Для выбора организации необходимо два раза нажать левую клавишу мыши!" sqref="E25 E62"/>
    <dataValidation type="decimal" allowBlank="1" showErrorMessage="1" errorTitle="Ошибка" error="Допускается ввод только действительных чисел!" sqref="G27:K40 G89:K91 G93:K124 G52:K55 G23:K25 G79:K87 G20:K21 G64:K77 G42:K50 G15:K18 G126:K146 G57:K58 G60:K6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Y181"/>
  <sheetViews>
    <sheetView view="pageBreakPreview" topLeftCell="C7" zoomScaleNormal="100" zoomScaleSheetLayoutView="100" workbookViewId="0">
      <selection activeCell="K8" sqref="K8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idden="1" x14ac:dyDescent="0.25">
      <c r="S1" s="2"/>
      <c r="T1" s="2"/>
      <c r="U1" s="2"/>
      <c r="V1" s="2"/>
      <c r="Y1" s="2"/>
      <c r="AN1" s="2"/>
      <c r="AO1" s="2"/>
      <c r="AP1" s="2"/>
      <c r="BC1" s="2"/>
      <c r="BF1" s="2"/>
      <c r="BI1" s="2"/>
      <c r="BJ1" s="2"/>
      <c r="BX1" s="2"/>
      <c r="BY1" s="2"/>
    </row>
    <row r="2" spans="1:77" hidden="1" x14ac:dyDescent="0.25"/>
    <row r="3" spans="1:77" hidden="1" x14ac:dyDescent="0.25"/>
    <row r="4" spans="1:77" hidden="1" x14ac:dyDescent="0.2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idden="1" x14ac:dyDescent="0.2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idden="1" x14ac:dyDescent="0.25">
      <c r="A6" s="5"/>
    </row>
    <row r="7" spans="1:77" ht="12" customHeight="1" x14ac:dyDescent="0.25">
      <c r="A7" s="5"/>
      <c r="D7" s="6"/>
      <c r="E7" s="6"/>
      <c r="F7" s="6"/>
      <c r="G7" s="6"/>
      <c r="H7" s="6"/>
      <c r="I7" s="6"/>
      <c r="J7" s="6"/>
      <c r="K7" s="7" t="s">
        <v>341</v>
      </c>
      <c r="Q7" s="8"/>
    </row>
    <row r="8" spans="1:77" ht="22.5" customHeight="1" x14ac:dyDescent="0.25">
      <c r="A8" s="5"/>
      <c r="D8" s="81" t="s">
        <v>11</v>
      </c>
      <c r="E8" s="8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77" x14ac:dyDescent="0.25">
      <c r="A9" s="5"/>
      <c r="D9" s="10" t="str">
        <f>IF(org="","Не определено",org)</f>
        <v>ЗАО "Коттон Вэй"</v>
      </c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77" ht="12" customHeight="1" x14ac:dyDescent="0.25">
      <c r="D10" s="11"/>
      <c r="E10" s="11"/>
      <c r="F10" s="6"/>
      <c r="G10" s="6"/>
      <c r="H10" s="6"/>
      <c r="I10" s="6"/>
      <c r="K10" s="12" t="s">
        <v>12</v>
      </c>
    </row>
    <row r="11" spans="1:77" ht="15" customHeight="1" x14ac:dyDescent="0.25">
      <c r="C11" s="6"/>
      <c r="D11" s="82" t="s">
        <v>13</v>
      </c>
      <c r="E11" s="84" t="s">
        <v>14</v>
      </c>
      <c r="F11" s="84" t="s">
        <v>15</v>
      </c>
      <c r="G11" s="84" t="s">
        <v>16</v>
      </c>
      <c r="H11" s="84" t="s">
        <v>17</v>
      </c>
      <c r="I11" s="84"/>
      <c r="J11" s="84"/>
      <c r="K11" s="86"/>
      <c r="L11" s="13"/>
    </row>
    <row r="12" spans="1:77" ht="15" customHeight="1" x14ac:dyDescent="0.25">
      <c r="C12" s="6"/>
      <c r="D12" s="83"/>
      <c r="E12" s="85"/>
      <c r="F12" s="85"/>
      <c r="G12" s="85"/>
      <c r="H12" s="77" t="s">
        <v>18</v>
      </c>
      <c r="I12" s="77" t="s">
        <v>19</v>
      </c>
      <c r="J12" s="77" t="s">
        <v>20</v>
      </c>
      <c r="K12" s="15" t="s">
        <v>21</v>
      </c>
      <c r="L12" s="13"/>
    </row>
    <row r="13" spans="1:77" ht="12" customHeight="1" x14ac:dyDescent="0.25">
      <c r="D13" s="16">
        <v>0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</row>
    <row r="14" spans="1:77" s="17" customFormat="1" ht="15" customHeight="1" x14ac:dyDescent="0.25">
      <c r="C14" s="18"/>
      <c r="D14" s="87" t="s">
        <v>22</v>
      </c>
      <c r="E14" s="88"/>
      <c r="F14" s="88"/>
      <c r="G14" s="88"/>
      <c r="H14" s="88"/>
      <c r="I14" s="88"/>
      <c r="J14" s="88"/>
      <c r="K14" s="89"/>
      <c r="L14" s="19"/>
    </row>
    <row r="15" spans="1:77" s="17" customFormat="1" ht="15" customHeight="1" x14ac:dyDescent="0.2">
      <c r="C15" s="18"/>
      <c r="D15" s="20" t="s">
        <v>23</v>
      </c>
      <c r="E15" s="21" t="s">
        <v>24</v>
      </c>
      <c r="F15" s="22">
        <v>10</v>
      </c>
      <c r="G15" s="23">
        <f>SUM(H15:K15)</f>
        <v>2349.232</v>
      </c>
      <c r="H15" s="23">
        <f>H16+H17+H20+H23</f>
        <v>1899.002</v>
      </c>
      <c r="I15" s="23">
        <f>I16+I17+I20+I23</f>
        <v>0</v>
      </c>
      <c r="J15" s="23">
        <f>J16+J17+J20+J23</f>
        <v>450.23</v>
      </c>
      <c r="K15" s="23">
        <f>K16+K17+K20+K23</f>
        <v>0</v>
      </c>
      <c r="L15" s="19"/>
      <c r="M15" s="24"/>
      <c r="P15" s="25">
        <v>10</v>
      </c>
    </row>
    <row r="16" spans="1:77" s="17" customFormat="1" ht="15" customHeight="1" x14ac:dyDescent="0.2">
      <c r="C16" s="18"/>
      <c r="D16" s="20" t="s">
        <v>25</v>
      </c>
      <c r="E16" s="26" t="s">
        <v>26</v>
      </c>
      <c r="F16" s="22">
        <v>20</v>
      </c>
      <c r="G16" s="23">
        <f t="shared" ref="G16:G132" si="0">SUM(H16:K16)</f>
        <v>0</v>
      </c>
      <c r="H16" s="27"/>
      <c r="I16" s="27"/>
      <c r="J16" s="27"/>
      <c r="K16" s="27"/>
      <c r="L16" s="19"/>
      <c r="M16" s="24"/>
      <c r="P16" s="25">
        <v>20</v>
      </c>
    </row>
    <row r="17" spans="3:16" s="17" customFormat="1" ht="12.75" x14ac:dyDescent="0.2">
      <c r="C17" s="18"/>
      <c r="D17" s="20" t="s">
        <v>27</v>
      </c>
      <c r="E17" s="26" t="s">
        <v>28</v>
      </c>
      <c r="F17" s="22">
        <v>30</v>
      </c>
      <c r="G17" s="23">
        <f t="shared" si="0"/>
        <v>0</v>
      </c>
      <c r="H17" s="23">
        <f>SUM(H18:H19)</f>
        <v>0</v>
      </c>
      <c r="I17" s="23">
        <f>SUM(I18:I19)</f>
        <v>0</v>
      </c>
      <c r="J17" s="23">
        <f>SUM(J18:J19)</f>
        <v>0</v>
      </c>
      <c r="K17" s="23">
        <f>SUM(K18:K19)</f>
        <v>0</v>
      </c>
      <c r="L17" s="19"/>
      <c r="M17" s="24"/>
      <c r="P17" s="25">
        <v>30</v>
      </c>
    </row>
    <row r="18" spans="3:16" s="17" customFormat="1" ht="12.75" x14ac:dyDescent="0.2">
      <c r="C18" s="18"/>
      <c r="D18" s="28" t="s">
        <v>29</v>
      </c>
      <c r="E18" s="29"/>
      <c r="F18" s="30" t="s">
        <v>30</v>
      </c>
      <c r="G18" s="31"/>
      <c r="H18" s="31"/>
      <c r="I18" s="31"/>
      <c r="J18" s="31"/>
      <c r="K18" s="31"/>
      <c r="L18" s="19"/>
      <c r="M18" s="24"/>
      <c r="P18" s="25"/>
    </row>
    <row r="19" spans="3:16" s="17" customFormat="1" ht="12.75" x14ac:dyDescent="0.2">
      <c r="C19" s="18"/>
      <c r="D19" s="32"/>
      <c r="E19" s="33" t="s">
        <v>31</v>
      </c>
      <c r="F19" s="34"/>
      <c r="G19" s="34"/>
      <c r="H19" s="34"/>
      <c r="I19" s="34"/>
      <c r="J19" s="34"/>
      <c r="K19" s="35"/>
      <c r="L19" s="19"/>
      <c r="M19" s="24"/>
      <c r="P19" s="36"/>
    </row>
    <row r="20" spans="3:16" s="17" customFormat="1" ht="12.75" x14ac:dyDescent="0.2">
      <c r="C20" s="18"/>
      <c r="D20" s="20" t="s">
        <v>32</v>
      </c>
      <c r="E20" s="26" t="s">
        <v>33</v>
      </c>
      <c r="F20" s="22" t="s">
        <v>34</v>
      </c>
      <c r="G20" s="23">
        <f t="shared" si="0"/>
        <v>0</v>
      </c>
      <c r="H20" s="23">
        <f>SUM(H21:H22)</f>
        <v>0</v>
      </c>
      <c r="I20" s="23">
        <f>SUM(I21:I22)</f>
        <v>0</v>
      </c>
      <c r="J20" s="23">
        <f>SUM(J21:J22)</f>
        <v>0</v>
      </c>
      <c r="K20" s="23">
        <f>SUM(K21:K22)</f>
        <v>0</v>
      </c>
      <c r="L20" s="19"/>
      <c r="M20" s="24"/>
      <c r="P20" s="36"/>
    </row>
    <row r="21" spans="3:16" s="17" customFormat="1" ht="12.75" x14ac:dyDescent="0.2">
      <c r="C21" s="18"/>
      <c r="D21" s="28" t="s">
        <v>35</v>
      </c>
      <c r="E21" s="29"/>
      <c r="F21" s="30" t="s">
        <v>34</v>
      </c>
      <c r="G21" s="31"/>
      <c r="H21" s="31"/>
      <c r="I21" s="31"/>
      <c r="J21" s="31"/>
      <c r="K21" s="31"/>
      <c r="L21" s="19"/>
      <c r="M21" s="24"/>
      <c r="P21" s="25"/>
    </row>
    <row r="22" spans="3:16" s="17" customFormat="1" ht="12.75" x14ac:dyDescent="0.2">
      <c r="C22" s="18"/>
      <c r="D22" s="32"/>
      <c r="E22" s="33" t="s">
        <v>31</v>
      </c>
      <c r="F22" s="34"/>
      <c r="G22" s="34"/>
      <c r="H22" s="34"/>
      <c r="I22" s="34"/>
      <c r="J22" s="34"/>
      <c r="K22" s="35"/>
      <c r="L22" s="19"/>
      <c r="M22" s="24"/>
      <c r="P22" s="36"/>
    </row>
    <row r="23" spans="3:16" s="17" customFormat="1" ht="12.75" x14ac:dyDescent="0.2">
      <c r="C23" s="18"/>
      <c r="D23" s="20" t="s">
        <v>36</v>
      </c>
      <c r="E23" s="26" t="s">
        <v>37</v>
      </c>
      <c r="F23" s="22" t="s">
        <v>38</v>
      </c>
      <c r="G23" s="23">
        <f t="shared" si="0"/>
        <v>2349.232</v>
      </c>
      <c r="H23" s="23">
        <f>SUM(H24:H26)</f>
        <v>1899.002</v>
      </c>
      <c r="I23" s="23">
        <f>SUM(I24:I26)</f>
        <v>0</v>
      </c>
      <c r="J23" s="23">
        <f>SUM(J24:J26)</f>
        <v>450.23</v>
      </c>
      <c r="K23" s="23">
        <f>SUM(K24:K26)</f>
        <v>0</v>
      </c>
      <c r="L23" s="19"/>
      <c r="M23" s="24"/>
      <c r="P23" s="25">
        <v>40</v>
      </c>
    </row>
    <row r="24" spans="3:16" s="17" customFormat="1" ht="12.75" x14ac:dyDescent="0.2">
      <c r="C24" s="18"/>
      <c r="D24" s="28" t="s">
        <v>39</v>
      </c>
      <c r="E24" s="29"/>
      <c r="F24" s="30" t="s">
        <v>38</v>
      </c>
      <c r="G24" s="31"/>
      <c r="H24" s="31"/>
      <c r="I24" s="31"/>
      <c r="J24" s="31"/>
      <c r="K24" s="31"/>
      <c r="L24" s="19"/>
      <c r="M24" s="24"/>
      <c r="P24" s="25"/>
    </row>
    <row r="25" spans="3:16" s="17" customFormat="1" ht="15" x14ac:dyDescent="0.25">
      <c r="C25" s="37" t="s">
        <v>40</v>
      </c>
      <c r="D25" s="38" t="s">
        <v>41</v>
      </c>
      <c r="E25" s="39" t="s">
        <v>42</v>
      </c>
      <c r="F25" s="40">
        <v>431</v>
      </c>
      <c r="G25" s="41">
        <f>SUM(H25:K25)</f>
        <v>2349.232</v>
      </c>
      <c r="H25" s="42">
        <v>1899.002</v>
      </c>
      <c r="I25" s="42">
        <v>0</v>
      </c>
      <c r="J25" s="42">
        <f>450.23</f>
        <v>450.23</v>
      </c>
      <c r="K25" s="42">
        <v>0</v>
      </c>
      <c r="L25" s="19"/>
      <c r="M25" s="43" t="s">
        <v>43</v>
      </c>
      <c r="N25" s="44" t="s">
        <v>44</v>
      </c>
      <c r="O25" s="44" t="s">
        <v>45</v>
      </c>
    </row>
    <row r="26" spans="3:16" s="17" customFormat="1" ht="12.75" x14ac:dyDescent="0.2">
      <c r="C26" s="18"/>
      <c r="D26" s="32"/>
      <c r="E26" s="33" t="s">
        <v>31</v>
      </c>
      <c r="F26" s="34"/>
      <c r="G26" s="34"/>
      <c r="H26" s="34"/>
      <c r="I26" s="34"/>
      <c r="J26" s="34"/>
      <c r="K26" s="35"/>
      <c r="L26" s="19"/>
      <c r="M26" s="24"/>
      <c r="P26" s="25"/>
    </row>
    <row r="27" spans="3:16" s="17" customFormat="1" ht="12.75" x14ac:dyDescent="0.2">
      <c r="C27" s="18"/>
      <c r="D27" s="20" t="s">
        <v>46</v>
      </c>
      <c r="E27" s="21" t="s">
        <v>47</v>
      </c>
      <c r="F27" s="22" t="s">
        <v>48</v>
      </c>
      <c r="G27" s="23">
        <f t="shared" si="0"/>
        <v>4024.3220000000001</v>
      </c>
      <c r="H27" s="23">
        <f>H29+H30+H31</f>
        <v>0</v>
      </c>
      <c r="I27" s="23">
        <f>I28+I30+I31</f>
        <v>0</v>
      </c>
      <c r="J27" s="23">
        <f>J28+J29+J31</f>
        <v>1899.002</v>
      </c>
      <c r="K27" s="23">
        <f>K28+K29+K30</f>
        <v>2125.3200000000002</v>
      </c>
      <c r="L27" s="19"/>
      <c r="M27" s="24"/>
      <c r="P27" s="25">
        <v>50</v>
      </c>
    </row>
    <row r="28" spans="3:16" s="17" customFormat="1" ht="12.75" x14ac:dyDescent="0.2">
      <c r="C28" s="18"/>
      <c r="D28" s="20" t="s">
        <v>49</v>
      </c>
      <c r="E28" s="26" t="s">
        <v>18</v>
      </c>
      <c r="F28" s="22" t="s">
        <v>50</v>
      </c>
      <c r="G28" s="23">
        <f t="shared" si="0"/>
        <v>1899.002</v>
      </c>
      <c r="H28" s="45"/>
      <c r="I28" s="27"/>
      <c r="J28" s="27">
        <f>H25</f>
        <v>1899.002</v>
      </c>
      <c r="K28" s="27"/>
      <c r="L28" s="19"/>
      <c r="M28" s="24"/>
      <c r="P28" s="25">
        <v>60</v>
      </c>
    </row>
    <row r="29" spans="3:16" s="17" customFormat="1" ht="12.75" x14ac:dyDescent="0.2">
      <c r="C29" s="18"/>
      <c r="D29" s="20" t="s">
        <v>51</v>
      </c>
      <c r="E29" s="26" t="s">
        <v>19</v>
      </c>
      <c r="F29" s="22" t="s">
        <v>52</v>
      </c>
      <c r="G29" s="23">
        <f t="shared" si="0"/>
        <v>0</v>
      </c>
      <c r="H29" s="27"/>
      <c r="I29" s="45"/>
      <c r="J29" s="27"/>
      <c r="K29" s="27"/>
      <c r="L29" s="19"/>
      <c r="M29" s="24"/>
      <c r="P29" s="25">
        <v>70</v>
      </c>
    </row>
    <row r="30" spans="3:16" s="17" customFormat="1" ht="12.75" x14ac:dyDescent="0.2">
      <c r="C30" s="18"/>
      <c r="D30" s="20" t="s">
        <v>53</v>
      </c>
      <c r="E30" s="26" t="s">
        <v>20</v>
      </c>
      <c r="F30" s="22" t="s">
        <v>54</v>
      </c>
      <c r="G30" s="23">
        <f t="shared" si="0"/>
        <v>2125.3200000000002</v>
      </c>
      <c r="H30" s="27"/>
      <c r="I30" s="27"/>
      <c r="J30" s="45"/>
      <c r="K30" s="27">
        <f>H25+J25-J36-J46</f>
        <v>2125.3200000000002</v>
      </c>
      <c r="L30" s="19"/>
      <c r="M30" s="24"/>
      <c r="P30" s="25">
        <v>80</v>
      </c>
    </row>
    <row r="31" spans="3:16" s="17" customFormat="1" ht="12.75" x14ac:dyDescent="0.2">
      <c r="C31" s="18"/>
      <c r="D31" s="20" t="s">
        <v>55</v>
      </c>
      <c r="E31" s="26" t="s">
        <v>56</v>
      </c>
      <c r="F31" s="22" t="s">
        <v>57</v>
      </c>
      <c r="G31" s="23">
        <f t="shared" si="0"/>
        <v>0</v>
      </c>
      <c r="H31" s="27"/>
      <c r="I31" s="27"/>
      <c r="J31" s="27"/>
      <c r="K31" s="45"/>
      <c r="L31" s="19"/>
      <c r="M31" s="24"/>
      <c r="P31" s="25">
        <v>90</v>
      </c>
    </row>
    <row r="32" spans="3:16" s="17" customFormat="1" ht="12.75" x14ac:dyDescent="0.2">
      <c r="C32" s="18"/>
      <c r="D32" s="20" t="s">
        <v>58</v>
      </c>
      <c r="E32" s="46" t="s">
        <v>59</v>
      </c>
      <c r="F32" s="22" t="s">
        <v>60</v>
      </c>
      <c r="G32" s="23">
        <f t="shared" si="0"/>
        <v>0</v>
      </c>
      <c r="H32" s="27"/>
      <c r="I32" s="27"/>
      <c r="J32" s="27"/>
      <c r="K32" s="27"/>
      <c r="L32" s="19"/>
      <c r="M32" s="24"/>
      <c r="P32" s="25"/>
    </row>
    <row r="33" spans="3:16" s="17" customFormat="1" ht="12.75" x14ac:dyDescent="0.2">
      <c r="C33" s="18"/>
      <c r="D33" s="20" t="s">
        <v>61</v>
      </c>
      <c r="E33" s="21" t="s">
        <v>62</v>
      </c>
      <c r="F33" s="47" t="s">
        <v>63</v>
      </c>
      <c r="G33" s="23">
        <f t="shared" si="0"/>
        <v>2354.8599999999997</v>
      </c>
      <c r="H33" s="23">
        <f>H34+H36+H39+H42</f>
        <v>0</v>
      </c>
      <c r="I33" s="23">
        <f>I34+I36+I39+I42</f>
        <v>0</v>
      </c>
      <c r="J33" s="23">
        <f>J34+J36+J39+J42</f>
        <v>223.91200000000001</v>
      </c>
      <c r="K33" s="23">
        <f>K34+K36+K39+K42</f>
        <v>2130.9479999999999</v>
      </c>
      <c r="L33" s="19"/>
      <c r="M33" s="24"/>
      <c r="P33" s="25">
        <v>100</v>
      </c>
    </row>
    <row r="34" spans="3:16" s="17" customFormat="1" ht="22.5" x14ac:dyDescent="0.2">
      <c r="C34" s="18"/>
      <c r="D34" s="20" t="s">
        <v>64</v>
      </c>
      <c r="E34" s="26" t="s">
        <v>65</v>
      </c>
      <c r="F34" s="22" t="s">
        <v>66</v>
      </c>
      <c r="G34" s="23">
        <f t="shared" si="0"/>
        <v>0</v>
      </c>
      <c r="H34" s="27"/>
      <c r="I34" s="27"/>
      <c r="J34" s="27"/>
      <c r="K34" s="27"/>
      <c r="L34" s="19"/>
      <c r="M34" s="24"/>
      <c r="P34" s="25"/>
    </row>
    <row r="35" spans="3:16" s="17" customFormat="1" ht="12.75" x14ac:dyDescent="0.2">
      <c r="C35" s="18"/>
      <c r="D35" s="20" t="s">
        <v>67</v>
      </c>
      <c r="E35" s="48" t="s">
        <v>68</v>
      </c>
      <c r="F35" s="22" t="s">
        <v>69</v>
      </c>
      <c r="G35" s="23">
        <f t="shared" si="0"/>
        <v>0</v>
      </c>
      <c r="H35" s="27"/>
      <c r="I35" s="27"/>
      <c r="J35" s="27"/>
      <c r="K35" s="27"/>
      <c r="L35" s="19"/>
      <c r="M35" s="24"/>
      <c r="P35" s="25"/>
    </row>
    <row r="36" spans="3:16" s="17" customFormat="1" ht="12.75" x14ac:dyDescent="0.2">
      <c r="C36" s="18"/>
      <c r="D36" s="20" t="s">
        <v>70</v>
      </c>
      <c r="E36" s="26" t="s">
        <v>71</v>
      </c>
      <c r="F36" s="22" t="s">
        <v>72</v>
      </c>
      <c r="G36" s="23">
        <f t="shared" si="0"/>
        <v>2354.8599999999997</v>
      </c>
      <c r="H36" s="27">
        <v>0</v>
      </c>
      <c r="I36" s="27">
        <v>0</v>
      </c>
      <c r="J36" s="27">
        <v>223.91200000000001</v>
      </c>
      <c r="K36" s="27">
        <f>2130.948</f>
        <v>2130.9479999999999</v>
      </c>
      <c r="L36" s="19"/>
      <c r="M36" s="24"/>
      <c r="P36" s="25"/>
    </row>
    <row r="37" spans="3:16" s="17" customFormat="1" ht="12.75" x14ac:dyDescent="0.2">
      <c r="C37" s="18"/>
      <c r="D37" s="20" t="s">
        <v>73</v>
      </c>
      <c r="E37" s="48" t="s">
        <v>74</v>
      </c>
      <c r="F37" s="22" t="s">
        <v>75</v>
      </c>
      <c r="G37" s="23">
        <f t="shared" si="0"/>
        <v>0</v>
      </c>
      <c r="H37" s="27"/>
      <c r="I37" s="27"/>
      <c r="J37" s="27"/>
      <c r="K37" s="27"/>
      <c r="L37" s="19"/>
      <c r="M37" s="24"/>
      <c r="P37" s="25"/>
    </row>
    <row r="38" spans="3:16" s="17" customFormat="1" ht="12.75" x14ac:dyDescent="0.2">
      <c r="C38" s="18"/>
      <c r="D38" s="20" t="s">
        <v>76</v>
      </c>
      <c r="E38" s="49" t="s">
        <v>68</v>
      </c>
      <c r="F38" s="22" t="s">
        <v>77</v>
      </c>
      <c r="G38" s="23">
        <f t="shared" si="0"/>
        <v>0</v>
      </c>
      <c r="H38" s="27"/>
      <c r="I38" s="27"/>
      <c r="J38" s="27"/>
      <c r="K38" s="27"/>
      <c r="L38" s="19"/>
      <c r="M38" s="24"/>
      <c r="P38" s="25"/>
    </row>
    <row r="39" spans="3:16" s="17" customFormat="1" ht="12.75" x14ac:dyDescent="0.2">
      <c r="C39" s="18"/>
      <c r="D39" s="20" t="s">
        <v>78</v>
      </c>
      <c r="E39" s="26" t="s">
        <v>79</v>
      </c>
      <c r="F39" s="22" t="s">
        <v>80</v>
      </c>
      <c r="G39" s="23">
        <f t="shared" si="0"/>
        <v>0</v>
      </c>
      <c r="H39" s="23">
        <f>SUM(H40:H41)</f>
        <v>0</v>
      </c>
      <c r="I39" s="23">
        <f>SUM(I40:I41)</f>
        <v>0</v>
      </c>
      <c r="J39" s="23">
        <f>SUM(J40:J41)</f>
        <v>0</v>
      </c>
      <c r="K39" s="23">
        <f>SUM(K40:K41)</f>
        <v>0</v>
      </c>
      <c r="L39" s="19"/>
      <c r="M39" s="24"/>
      <c r="P39" s="25"/>
    </row>
    <row r="40" spans="3:16" s="17" customFormat="1" ht="12.75" x14ac:dyDescent="0.2">
      <c r="C40" s="18"/>
      <c r="D40" s="28" t="s">
        <v>81</v>
      </c>
      <c r="E40" s="29"/>
      <c r="F40" s="30" t="s">
        <v>80</v>
      </c>
      <c r="G40" s="31"/>
      <c r="H40" s="31"/>
      <c r="I40" s="31"/>
      <c r="J40" s="31"/>
      <c r="K40" s="31"/>
      <c r="L40" s="19"/>
      <c r="M40" s="24"/>
      <c r="P40" s="25"/>
    </row>
    <row r="41" spans="3:16" s="17" customFormat="1" ht="12.75" x14ac:dyDescent="0.2">
      <c r="C41" s="18"/>
      <c r="D41" s="50"/>
      <c r="E41" s="33" t="s">
        <v>31</v>
      </c>
      <c r="F41" s="34"/>
      <c r="G41" s="34"/>
      <c r="H41" s="34"/>
      <c r="I41" s="34"/>
      <c r="J41" s="34"/>
      <c r="K41" s="35"/>
      <c r="L41" s="19"/>
      <c r="M41" s="24"/>
      <c r="P41" s="25"/>
    </row>
    <row r="42" spans="3:16" s="17" customFormat="1" ht="12.75" x14ac:dyDescent="0.2">
      <c r="C42" s="18"/>
      <c r="D42" s="20" t="s">
        <v>82</v>
      </c>
      <c r="E42" s="51" t="s">
        <v>83</v>
      </c>
      <c r="F42" s="22" t="s">
        <v>84</v>
      </c>
      <c r="G42" s="23">
        <f t="shared" si="0"/>
        <v>0</v>
      </c>
      <c r="H42" s="27"/>
      <c r="I42" s="27"/>
      <c r="J42" s="27"/>
      <c r="K42" s="27"/>
      <c r="L42" s="19"/>
      <c r="M42" s="24"/>
      <c r="P42" s="25">
        <v>120</v>
      </c>
    </row>
    <row r="43" spans="3:16" s="17" customFormat="1" ht="12.75" x14ac:dyDescent="0.2">
      <c r="C43" s="18"/>
      <c r="D43" s="20" t="s">
        <v>85</v>
      </c>
      <c r="E43" s="21" t="s">
        <v>86</v>
      </c>
      <c r="F43" s="22" t="s">
        <v>87</v>
      </c>
      <c r="G43" s="23">
        <f t="shared" si="0"/>
        <v>4024.3220000000001</v>
      </c>
      <c r="H43" s="27">
        <f>J28</f>
        <v>1899.002</v>
      </c>
      <c r="I43" s="27"/>
      <c r="J43" s="27">
        <f>K30</f>
        <v>2125.3200000000002</v>
      </c>
      <c r="K43" s="27"/>
      <c r="L43" s="19"/>
      <c r="M43" s="24"/>
      <c r="P43" s="25">
        <v>150</v>
      </c>
    </row>
    <row r="44" spans="3:16" s="17" customFormat="1" ht="12.75" x14ac:dyDescent="0.2">
      <c r="C44" s="18"/>
      <c r="D44" s="20" t="s">
        <v>88</v>
      </c>
      <c r="E44" s="21" t="s">
        <v>89</v>
      </c>
      <c r="F44" s="22" t="s">
        <v>90</v>
      </c>
      <c r="G44" s="23">
        <f t="shared" si="0"/>
        <v>0</v>
      </c>
      <c r="H44" s="27"/>
      <c r="I44" s="27"/>
      <c r="J44" s="27"/>
      <c r="K44" s="27"/>
      <c r="L44" s="19"/>
      <c r="M44" s="24"/>
      <c r="P44" s="25">
        <v>160</v>
      </c>
    </row>
    <row r="45" spans="3:16" s="17" customFormat="1" ht="12.75" x14ac:dyDescent="0.2">
      <c r="C45" s="18"/>
      <c r="D45" s="20" t="s">
        <v>91</v>
      </c>
      <c r="E45" s="21" t="s">
        <v>92</v>
      </c>
      <c r="F45" s="22" t="s">
        <v>93</v>
      </c>
      <c r="G45" s="23">
        <f t="shared" si="0"/>
        <v>0</v>
      </c>
      <c r="H45" s="27"/>
      <c r="I45" s="27"/>
      <c r="J45" s="27"/>
      <c r="K45" s="27"/>
      <c r="L45" s="19"/>
      <c r="M45" s="24"/>
      <c r="P45" s="25">
        <v>180</v>
      </c>
    </row>
    <row r="46" spans="3:16" s="17" customFormat="1" ht="12.75" x14ac:dyDescent="0.2">
      <c r="C46" s="18"/>
      <c r="D46" s="20" t="s">
        <v>94</v>
      </c>
      <c r="E46" s="21" t="s">
        <v>95</v>
      </c>
      <c r="F46" s="22" t="s">
        <v>96</v>
      </c>
      <c r="G46" s="23">
        <f t="shared" si="0"/>
        <v>-5.6279999999997017</v>
      </c>
      <c r="H46" s="27"/>
      <c r="I46" s="27"/>
      <c r="J46" s="27"/>
      <c r="K46" s="27">
        <f>G25-G36</f>
        <v>-5.6279999999997017</v>
      </c>
      <c r="L46" s="19"/>
      <c r="M46" s="24"/>
      <c r="P46" s="25">
        <v>190</v>
      </c>
    </row>
    <row r="47" spans="3:16" s="17" customFormat="1" ht="12.75" x14ac:dyDescent="0.2">
      <c r="C47" s="18"/>
      <c r="D47" s="20" t="s">
        <v>97</v>
      </c>
      <c r="E47" s="26" t="s">
        <v>98</v>
      </c>
      <c r="F47" s="22" t="s">
        <v>99</v>
      </c>
      <c r="G47" s="23">
        <f t="shared" si="0"/>
        <v>0</v>
      </c>
      <c r="H47" s="27"/>
      <c r="I47" s="27"/>
      <c r="J47" s="27">
        <v>0</v>
      </c>
      <c r="K47" s="27">
        <v>0</v>
      </c>
      <c r="L47" s="19"/>
      <c r="M47" s="24"/>
      <c r="P47" s="25">
        <v>200</v>
      </c>
    </row>
    <row r="48" spans="3:16" s="17" customFormat="1" ht="12.75" x14ac:dyDescent="0.2">
      <c r="C48" s="18"/>
      <c r="D48" s="20" t="s">
        <v>100</v>
      </c>
      <c r="E48" s="21" t="s">
        <v>101</v>
      </c>
      <c r="F48" s="22" t="s">
        <v>102</v>
      </c>
      <c r="G48" s="23">
        <f t="shared" si="0"/>
        <v>141.1</v>
      </c>
      <c r="H48" s="27"/>
      <c r="I48" s="27"/>
      <c r="J48" s="27"/>
      <c r="K48" s="27">
        <f>0.1411*1000</f>
        <v>141.1</v>
      </c>
      <c r="L48" s="19"/>
      <c r="M48" s="24"/>
      <c r="P48" s="36"/>
    </row>
    <row r="49" spans="3:16" s="17" customFormat="1" ht="22.5" x14ac:dyDescent="0.2">
      <c r="C49" s="18"/>
      <c r="D49" s="20" t="s">
        <v>103</v>
      </c>
      <c r="E49" s="46" t="s">
        <v>104</v>
      </c>
      <c r="F49" s="22" t="s">
        <v>105</v>
      </c>
      <c r="G49" s="23">
        <f t="shared" si="0"/>
        <v>-146.7279999999997</v>
      </c>
      <c r="H49" s="23">
        <f>H46-H48</f>
        <v>0</v>
      </c>
      <c r="I49" s="23">
        <f>I46-I48</f>
        <v>0</v>
      </c>
      <c r="J49" s="23">
        <f>J46-J48</f>
        <v>0</v>
      </c>
      <c r="K49" s="23">
        <f>K46-K48</f>
        <v>-146.7279999999997</v>
      </c>
      <c r="L49" s="19"/>
      <c r="M49" s="24"/>
      <c r="P49" s="36"/>
    </row>
    <row r="50" spans="3:16" s="17" customFormat="1" ht="12.75" x14ac:dyDescent="0.2">
      <c r="C50" s="18"/>
      <c r="D50" s="20" t="s">
        <v>106</v>
      </c>
      <c r="E50" s="21" t="s">
        <v>107</v>
      </c>
      <c r="F50" s="22" t="s">
        <v>108</v>
      </c>
      <c r="G50" s="23">
        <f t="shared" si="0"/>
        <v>0</v>
      </c>
      <c r="H50" s="23">
        <f>(H15+H27+H32)-(H33+H43+H44+H45+H46)</f>
        <v>0</v>
      </c>
      <c r="I50" s="23">
        <f>(I15+I27+I32)-(I33+I43+I44+I45+I46)</f>
        <v>0</v>
      </c>
      <c r="J50" s="23">
        <f>(J15+J27+J32)-(J33+J43+J44+J45+J46)</f>
        <v>0</v>
      </c>
      <c r="K50" s="23">
        <f>(K15+K27+K32)-(K33+K43+K44+K45+K46)</f>
        <v>0</v>
      </c>
      <c r="L50" s="19"/>
      <c r="M50" s="24"/>
      <c r="P50" s="25">
        <v>210</v>
      </c>
    </row>
    <row r="51" spans="3:16" s="17" customFormat="1" ht="12.75" x14ac:dyDescent="0.2">
      <c r="C51" s="18"/>
      <c r="D51" s="87" t="s">
        <v>109</v>
      </c>
      <c r="E51" s="88"/>
      <c r="F51" s="88"/>
      <c r="G51" s="88"/>
      <c r="H51" s="88"/>
      <c r="I51" s="88"/>
      <c r="J51" s="88"/>
      <c r="K51" s="89"/>
      <c r="L51" s="19"/>
      <c r="M51" s="24"/>
      <c r="P51" s="36"/>
    </row>
    <row r="52" spans="3:16" s="17" customFormat="1" ht="12.75" x14ac:dyDescent="0.2">
      <c r="C52" s="18"/>
      <c r="D52" s="20" t="s">
        <v>110</v>
      </c>
      <c r="E52" s="21" t="s">
        <v>24</v>
      </c>
      <c r="F52" s="22" t="s">
        <v>111</v>
      </c>
      <c r="G52" s="23">
        <f t="shared" si="0"/>
        <v>4.92</v>
      </c>
      <c r="H52" s="23">
        <f>H53+H54+H57+H60</f>
        <v>1.1807999999999998</v>
      </c>
      <c r="I52" s="23">
        <f>I53+I54+I57+I60</f>
        <v>0</v>
      </c>
      <c r="J52" s="23">
        <f>J53+J54+J57+J60</f>
        <v>3.7392000000000003</v>
      </c>
      <c r="K52" s="23">
        <f>K53+K54+K57+K60</f>
        <v>0</v>
      </c>
      <c r="L52" s="19"/>
      <c r="M52" s="24"/>
      <c r="P52" s="25">
        <v>300</v>
      </c>
    </row>
    <row r="53" spans="3:16" s="17" customFormat="1" ht="12.75" x14ac:dyDescent="0.2">
      <c r="C53" s="18"/>
      <c r="D53" s="20" t="s">
        <v>112</v>
      </c>
      <c r="E53" s="26" t="s">
        <v>26</v>
      </c>
      <c r="F53" s="22" t="s">
        <v>113</v>
      </c>
      <c r="G53" s="23">
        <f t="shared" si="0"/>
        <v>0</v>
      </c>
      <c r="H53" s="27"/>
      <c r="I53" s="27"/>
      <c r="J53" s="27"/>
      <c r="K53" s="27"/>
      <c r="L53" s="19"/>
      <c r="M53" s="24"/>
      <c r="P53" s="25">
        <v>310</v>
      </c>
    </row>
    <row r="54" spans="3:16" s="17" customFormat="1" ht="12.75" x14ac:dyDescent="0.2">
      <c r="C54" s="18"/>
      <c r="D54" s="20" t="s">
        <v>114</v>
      </c>
      <c r="E54" s="26" t="s">
        <v>28</v>
      </c>
      <c r="F54" s="22" t="s">
        <v>115</v>
      </c>
      <c r="G54" s="23">
        <f t="shared" si="0"/>
        <v>0</v>
      </c>
      <c r="H54" s="23">
        <f>SUM(H55:H56)</f>
        <v>0</v>
      </c>
      <c r="I54" s="23">
        <f>SUM(I55:I56)</f>
        <v>0</v>
      </c>
      <c r="J54" s="23">
        <f>SUM(J55:J56)</f>
        <v>0</v>
      </c>
      <c r="K54" s="23">
        <f>SUM(K55:K56)</f>
        <v>0</v>
      </c>
      <c r="L54" s="19"/>
      <c r="M54" s="24"/>
      <c r="P54" s="25">
        <v>320</v>
      </c>
    </row>
    <row r="55" spans="3:16" s="17" customFormat="1" ht="12.75" x14ac:dyDescent="0.2">
      <c r="C55" s="18"/>
      <c r="D55" s="28" t="s">
        <v>116</v>
      </c>
      <c r="E55" s="29"/>
      <c r="F55" s="30" t="s">
        <v>115</v>
      </c>
      <c r="G55" s="31"/>
      <c r="H55" s="31"/>
      <c r="I55" s="31"/>
      <c r="J55" s="31"/>
      <c r="K55" s="31"/>
      <c r="L55" s="19"/>
      <c r="M55" s="24"/>
      <c r="P55" s="25"/>
    </row>
    <row r="56" spans="3:16" s="17" customFormat="1" ht="12.75" x14ac:dyDescent="0.2">
      <c r="C56" s="18"/>
      <c r="D56" s="32"/>
      <c r="E56" s="33" t="s">
        <v>31</v>
      </c>
      <c r="F56" s="34"/>
      <c r="G56" s="34"/>
      <c r="H56" s="34"/>
      <c r="I56" s="34"/>
      <c r="J56" s="34"/>
      <c r="K56" s="35"/>
      <c r="L56" s="19"/>
      <c r="M56" s="24"/>
      <c r="P56" s="25"/>
    </row>
    <row r="57" spans="3:16" s="17" customFormat="1" ht="12.75" x14ac:dyDescent="0.2">
      <c r="C57" s="18"/>
      <c r="D57" s="20" t="s">
        <v>117</v>
      </c>
      <c r="E57" s="26" t="s">
        <v>33</v>
      </c>
      <c r="F57" s="22" t="s">
        <v>118</v>
      </c>
      <c r="G57" s="23">
        <f t="shared" si="0"/>
        <v>0</v>
      </c>
      <c r="H57" s="23">
        <f>SUM(H58:H59)</f>
        <v>0</v>
      </c>
      <c r="I57" s="23">
        <f>SUM(I58:I59)</f>
        <v>0</v>
      </c>
      <c r="J57" s="23">
        <f>SUM(J58:J59)</f>
        <v>0</v>
      </c>
      <c r="K57" s="23">
        <f>SUM(K58:K59)</f>
        <v>0</v>
      </c>
      <c r="L57" s="19"/>
      <c r="M57" s="24"/>
      <c r="P57" s="25"/>
    </row>
    <row r="58" spans="3:16" s="17" customFormat="1" ht="12.75" x14ac:dyDescent="0.2">
      <c r="C58" s="18"/>
      <c r="D58" s="28" t="s">
        <v>119</v>
      </c>
      <c r="E58" s="29"/>
      <c r="F58" s="30" t="s">
        <v>118</v>
      </c>
      <c r="G58" s="31"/>
      <c r="H58" s="31"/>
      <c r="I58" s="31"/>
      <c r="J58" s="31"/>
      <c r="K58" s="31"/>
      <c r="L58" s="19"/>
      <c r="M58" s="24"/>
      <c r="P58" s="25"/>
    </row>
    <row r="59" spans="3:16" s="17" customFormat="1" ht="12.75" x14ac:dyDescent="0.2">
      <c r="C59" s="18"/>
      <c r="D59" s="32"/>
      <c r="E59" s="33" t="s">
        <v>31</v>
      </c>
      <c r="F59" s="34"/>
      <c r="G59" s="34"/>
      <c r="H59" s="34"/>
      <c r="I59" s="34"/>
      <c r="J59" s="34"/>
      <c r="K59" s="35"/>
      <c r="L59" s="19"/>
      <c r="M59" s="24"/>
      <c r="P59" s="25"/>
    </row>
    <row r="60" spans="3:16" s="17" customFormat="1" ht="12.75" x14ac:dyDescent="0.2">
      <c r="C60" s="18"/>
      <c r="D60" s="20" t="s">
        <v>120</v>
      </c>
      <c r="E60" s="26" t="s">
        <v>37</v>
      </c>
      <c r="F60" s="22" t="s">
        <v>121</v>
      </c>
      <c r="G60" s="23">
        <f t="shared" si="0"/>
        <v>4.92</v>
      </c>
      <c r="H60" s="23">
        <f>SUM(H61:H63)</f>
        <v>1.1807999999999998</v>
      </c>
      <c r="I60" s="23">
        <f>SUM(I61:I63)</f>
        <v>0</v>
      </c>
      <c r="J60" s="23">
        <f>SUM(J61:J63)</f>
        <v>3.7392000000000003</v>
      </c>
      <c r="K60" s="23">
        <f>SUM(K61:K63)</f>
        <v>0</v>
      </c>
      <c r="L60" s="19"/>
      <c r="M60" s="24"/>
      <c r="P60" s="25">
        <v>330</v>
      </c>
    </row>
    <row r="61" spans="3:16" s="17" customFormat="1" ht="12.75" x14ac:dyDescent="0.2">
      <c r="C61" s="18"/>
      <c r="D61" s="28" t="s">
        <v>122</v>
      </c>
      <c r="E61" s="29"/>
      <c r="F61" s="30" t="s">
        <v>121</v>
      </c>
      <c r="G61" s="31"/>
      <c r="H61" s="31"/>
      <c r="I61" s="31"/>
      <c r="J61" s="31"/>
      <c r="K61" s="31"/>
      <c r="L61" s="19"/>
      <c r="M61" s="24"/>
      <c r="P61" s="25"/>
    </row>
    <row r="62" spans="3:16" s="17" customFormat="1" ht="15" x14ac:dyDescent="0.25">
      <c r="C62" s="37" t="s">
        <v>40</v>
      </c>
      <c r="D62" s="38" t="s">
        <v>123</v>
      </c>
      <c r="E62" s="39" t="s">
        <v>42</v>
      </c>
      <c r="F62" s="40">
        <v>1461</v>
      </c>
      <c r="G62" s="41">
        <f>SUM(H62:K62)</f>
        <v>4.92</v>
      </c>
      <c r="H62" s="52">
        <f>4.92*0.24</f>
        <v>1.1807999999999998</v>
      </c>
      <c r="I62" s="52">
        <v>0</v>
      </c>
      <c r="J62" s="52">
        <f>4.92-H62</f>
        <v>3.7392000000000003</v>
      </c>
      <c r="K62" s="53">
        <v>0</v>
      </c>
      <c r="L62" s="19"/>
      <c r="M62" s="43" t="s">
        <v>43</v>
      </c>
      <c r="N62" s="44" t="s">
        <v>44</v>
      </c>
      <c r="O62" s="44" t="s">
        <v>45</v>
      </c>
    </row>
    <row r="63" spans="3:16" s="17" customFormat="1" ht="12.75" x14ac:dyDescent="0.2">
      <c r="C63" s="18"/>
      <c r="D63" s="32"/>
      <c r="E63" s="33" t="s">
        <v>31</v>
      </c>
      <c r="F63" s="34"/>
      <c r="G63" s="34"/>
      <c r="H63" s="34"/>
      <c r="I63" s="34"/>
      <c r="J63" s="34"/>
      <c r="K63" s="35"/>
      <c r="L63" s="19"/>
      <c r="M63" s="24"/>
      <c r="P63" s="25"/>
    </row>
    <row r="64" spans="3:16" s="17" customFormat="1" ht="12.75" x14ac:dyDescent="0.2">
      <c r="C64" s="18"/>
      <c r="D64" s="20" t="s">
        <v>124</v>
      </c>
      <c r="E64" s="21" t="s">
        <v>47</v>
      </c>
      <c r="F64" s="22" t="s">
        <v>125</v>
      </c>
      <c r="G64" s="23">
        <f t="shared" si="0"/>
        <v>4.9728239999999992</v>
      </c>
      <c r="H64" s="23">
        <f>H66+H67+H68</f>
        <v>0</v>
      </c>
      <c r="I64" s="23">
        <f>I65+I67+I68</f>
        <v>0</v>
      </c>
      <c r="J64" s="23">
        <f>J65+J66+J68</f>
        <v>1.1807999999999998</v>
      </c>
      <c r="K64" s="23">
        <f>K65+K66+K67</f>
        <v>3.7920239999999996</v>
      </c>
      <c r="L64" s="19"/>
      <c r="M64" s="24"/>
      <c r="P64" s="25">
        <v>340</v>
      </c>
    </row>
    <row r="65" spans="3:16" s="17" customFormat="1" ht="12.75" x14ac:dyDescent="0.2">
      <c r="C65" s="18"/>
      <c r="D65" s="20" t="s">
        <v>126</v>
      </c>
      <c r="E65" s="26" t="s">
        <v>18</v>
      </c>
      <c r="F65" s="22" t="s">
        <v>127</v>
      </c>
      <c r="G65" s="23">
        <f t="shared" si="0"/>
        <v>1.1807999999999998</v>
      </c>
      <c r="H65" s="45"/>
      <c r="I65" s="27"/>
      <c r="J65" s="27">
        <f>H62</f>
        <v>1.1807999999999998</v>
      </c>
      <c r="K65" s="27"/>
      <c r="L65" s="19"/>
      <c r="M65" s="24"/>
      <c r="P65" s="25">
        <v>350</v>
      </c>
    </row>
    <row r="66" spans="3:16" s="17" customFormat="1" ht="12.75" x14ac:dyDescent="0.2">
      <c r="C66" s="18"/>
      <c r="D66" s="20" t="s">
        <v>128</v>
      </c>
      <c r="E66" s="26" t="s">
        <v>19</v>
      </c>
      <c r="F66" s="22" t="s">
        <v>129</v>
      </c>
      <c r="G66" s="23">
        <f t="shared" si="0"/>
        <v>0</v>
      </c>
      <c r="H66" s="27"/>
      <c r="I66" s="54"/>
      <c r="J66" s="27"/>
      <c r="K66" s="27"/>
      <c r="L66" s="19"/>
      <c r="M66" s="24"/>
      <c r="P66" s="25">
        <v>360</v>
      </c>
    </row>
    <row r="67" spans="3:16" s="17" customFormat="1" ht="12.75" x14ac:dyDescent="0.2">
      <c r="C67" s="18"/>
      <c r="D67" s="20" t="s">
        <v>130</v>
      </c>
      <c r="E67" s="26" t="s">
        <v>20</v>
      </c>
      <c r="F67" s="22" t="s">
        <v>131</v>
      </c>
      <c r="G67" s="23">
        <f t="shared" si="0"/>
        <v>3.7920239999999996</v>
      </c>
      <c r="H67" s="27"/>
      <c r="I67" s="27"/>
      <c r="J67" s="45"/>
      <c r="K67" s="27">
        <f>K73+K83</f>
        <v>3.7920239999999996</v>
      </c>
      <c r="L67" s="19"/>
      <c r="M67" s="24"/>
      <c r="P67" s="25">
        <v>370</v>
      </c>
    </row>
    <row r="68" spans="3:16" s="17" customFormat="1" ht="12.75" x14ac:dyDescent="0.2">
      <c r="C68" s="18"/>
      <c r="D68" s="20" t="s">
        <v>132</v>
      </c>
      <c r="E68" s="26" t="s">
        <v>56</v>
      </c>
      <c r="F68" s="22" t="s">
        <v>133</v>
      </c>
      <c r="G68" s="23">
        <f t="shared" si="0"/>
        <v>0</v>
      </c>
      <c r="H68" s="27"/>
      <c r="I68" s="27"/>
      <c r="J68" s="27"/>
      <c r="K68" s="45"/>
      <c r="L68" s="19"/>
      <c r="M68" s="24"/>
      <c r="P68" s="25">
        <v>380</v>
      </c>
    </row>
    <row r="69" spans="3:16" s="17" customFormat="1" ht="12.75" x14ac:dyDescent="0.2">
      <c r="C69" s="18"/>
      <c r="D69" s="20" t="s">
        <v>134</v>
      </c>
      <c r="E69" s="46" t="s">
        <v>59</v>
      </c>
      <c r="F69" s="22" t="s">
        <v>135</v>
      </c>
      <c r="G69" s="23">
        <f t="shared" si="0"/>
        <v>0</v>
      </c>
      <c r="H69" s="27"/>
      <c r="I69" s="27"/>
      <c r="J69" s="27"/>
      <c r="K69" s="27"/>
      <c r="L69" s="19"/>
      <c r="M69" s="24"/>
      <c r="P69" s="25"/>
    </row>
    <row r="70" spans="3:16" s="17" customFormat="1" ht="12.75" x14ac:dyDescent="0.2">
      <c r="C70" s="18"/>
      <c r="D70" s="20" t="s">
        <v>136</v>
      </c>
      <c r="E70" s="21" t="s">
        <v>62</v>
      </c>
      <c r="F70" s="47" t="s">
        <v>137</v>
      </c>
      <c r="G70" s="23">
        <f t="shared" si="0"/>
        <v>4.6999000000000004</v>
      </c>
      <c r="H70" s="23">
        <f>H71+H73+H76+H79</f>
        <v>0</v>
      </c>
      <c r="I70" s="23">
        <f>I71+I73+I76+I79</f>
        <v>0</v>
      </c>
      <c r="J70" s="23">
        <f>J71+J73+J76+J79</f>
        <v>1.1279760000000001</v>
      </c>
      <c r="K70" s="23">
        <f>K71+K73+K76+K79</f>
        <v>3.5719240000000001</v>
      </c>
      <c r="L70" s="19"/>
      <c r="M70" s="24"/>
      <c r="P70" s="25">
        <v>390</v>
      </c>
    </row>
    <row r="71" spans="3:16" s="17" customFormat="1" ht="22.5" x14ac:dyDescent="0.2">
      <c r="C71" s="18"/>
      <c r="D71" s="20" t="s">
        <v>138</v>
      </c>
      <c r="E71" s="26" t="s">
        <v>65</v>
      </c>
      <c r="F71" s="22" t="s">
        <v>139</v>
      </c>
      <c r="G71" s="23">
        <f t="shared" si="0"/>
        <v>0</v>
      </c>
      <c r="H71" s="27"/>
      <c r="I71" s="27"/>
      <c r="J71" s="27"/>
      <c r="K71" s="27"/>
      <c r="L71" s="19"/>
      <c r="M71" s="24"/>
      <c r="P71" s="25"/>
    </row>
    <row r="72" spans="3:16" s="17" customFormat="1" ht="12.75" x14ac:dyDescent="0.2">
      <c r="C72" s="18"/>
      <c r="D72" s="20" t="s">
        <v>140</v>
      </c>
      <c r="E72" s="48" t="s">
        <v>68</v>
      </c>
      <c r="F72" s="22" t="s">
        <v>141</v>
      </c>
      <c r="G72" s="23">
        <f t="shared" si="0"/>
        <v>0</v>
      </c>
      <c r="H72" s="27"/>
      <c r="I72" s="27"/>
      <c r="J72" s="27"/>
      <c r="K72" s="27"/>
      <c r="L72" s="19"/>
      <c r="M72" s="24"/>
      <c r="P72" s="25"/>
    </row>
    <row r="73" spans="3:16" s="17" customFormat="1" ht="12.75" x14ac:dyDescent="0.2">
      <c r="C73" s="18"/>
      <c r="D73" s="20" t="s">
        <v>142</v>
      </c>
      <c r="E73" s="26" t="s">
        <v>71</v>
      </c>
      <c r="F73" s="22" t="s">
        <v>143</v>
      </c>
      <c r="G73" s="23">
        <f t="shared" si="0"/>
        <v>4.6999000000000004</v>
      </c>
      <c r="H73" s="27">
        <v>0</v>
      </c>
      <c r="I73" s="27">
        <v>0</v>
      </c>
      <c r="J73" s="27">
        <f>4.6999*0.24</f>
        <v>1.1279760000000001</v>
      </c>
      <c r="K73" s="27">
        <f>4.6999-J73</f>
        <v>3.5719240000000001</v>
      </c>
      <c r="L73" s="19"/>
      <c r="M73" s="24"/>
      <c r="P73" s="25"/>
    </row>
    <row r="74" spans="3:16" s="17" customFormat="1" ht="12.75" x14ac:dyDescent="0.2">
      <c r="C74" s="18"/>
      <c r="D74" s="20" t="s">
        <v>144</v>
      </c>
      <c r="E74" s="48" t="s">
        <v>74</v>
      </c>
      <c r="F74" s="22" t="s">
        <v>145</v>
      </c>
      <c r="G74" s="23">
        <f t="shared" si="0"/>
        <v>0</v>
      </c>
      <c r="H74" s="27"/>
      <c r="I74" s="27"/>
      <c r="J74" s="27"/>
      <c r="K74" s="27"/>
      <c r="L74" s="19"/>
      <c r="M74" s="24"/>
      <c r="P74" s="25"/>
    </row>
    <row r="75" spans="3:16" s="17" customFormat="1" ht="12.75" x14ac:dyDescent="0.2">
      <c r="C75" s="18"/>
      <c r="D75" s="20" t="s">
        <v>146</v>
      </c>
      <c r="E75" s="49" t="s">
        <v>68</v>
      </c>
      <c r="F75" s="22" t="s">
        <v>147</v>
      </c>
      <c r="G75" s="23">
        <f t="shared" si="0"/>
        <v>0</v>
      </c>
      <c r="H75" s="27"/>
      <c r="I75" s="27"/>
      <c r="J75" s="27"/>
      <c r="K75" s="27"/>
      <c r="L75" s="19"/>
      <c r="M75" s="24"/>
      <c r="P75" s="25"/>
    </row>
    <row r="76" spans="3:16" s="17" customFormat="1" ht="12.75" x14ac:dyDescent="0.2">
      <c r="C76" s="18"/>
      <c r="D76" s="20" t="s">
        <v>148</v>
      </c>
      <c r="E76" s="26" t="s">
        <v>79</v>
      </c>
      <c r="F76" s="22" t="s">
        <v>149</v>
      </c>
      <c r="G76" s="23">
        <f t="shared" si="0"/>
        <v>0</v>
      </c>
      <c r="H76" s="23">
        <f>SUM(H77:H78)</f>
        <v>0</v>
      </c>
      <c r="I76" s="23">
        <f>SUM(I77:I78)</f>
        <v>0</v>
      </c>
      <c r="J76" s="23">
        <f>SUM(J77:J78)</f>
        <v>0</v>
      </c>
      <c r="K76" s="23">
        <f>SUM(K77:K78)</f>
        <v>0</v>
      </c>
      <c r="L76" s="19"/>
      <c r="M76" s="24"/>
      <c r="P76" s="25"/>
    </row>
    <row r="77" spans="3:16" s="17" customFormat="1" ht="12.75" x14ac:dyDescent="0.2">
      <c r="C77" s="18"/>
      <c r="D77" s="28" t="s">
        <v>150</v>
      </c>
      <c r="E77" s="29"/>
      <c r="F77" s="30" t="s">
        <v>149</v>
      </c>
      <c r="G77" s="31"/>
      <c r="H77" s="31"/>
      <c r="I77" s="31"/>
      <c r="J77" s="31"/>
      <c r="K77" s="31"/>
      <c r="L77" s="19"/>
      <c r="M77" s="24"/>
      <c r="P77" s="25"/>
    </row>
    <row r="78" spans="3:16" s="17" customFormat="1" ht="12.75" x14ac:dyDescent="0.2">
      <c r="C78" s="18"/>
      <c r="D78" s="32"/>
      <c r="E78" s="33" t="s">
        <v>31</v>
      </c>
      <c r="F78" s="34"/>
      <c r="G78" s="34"/>
      <c r="H78" s="34"/>
      <c r="I78" s="34"/>
      <c r="J78" s="34"/>
      <c r="K78" s="35"/>
      <c r="L78" s="19"/>
      <c r="M78" s="24"/>
      <c r="P78" s="25"/>
    </row>
    <row r="79" spans="3:16" s="17" customFormat="1" ht="12.75" x14ac:dyDescent="0.2">
      <c r="C79" s="18"/>
      <c r="D79" s="20" t="s">
        <v>151</v>
      </c>
      <c r="E79" s="51" t="s">
        <v>83</v>
      </c>
      <c r="F79" s="22" t="s">
        <v>152</v>
      </c>
      <c r="G79" s="23">
        <f t="shared" si="0"/>
        <v>0</v>
      </c>
      <c r="H79" s="27"/>
      <c r="I79" s="27"/>
      <c r="J79" s="27"/>
      <c r="K79" s="27"/>
      <c r="L79" s="19"/>
      <c r="M79" s="24"/>
      <c r="P79" s="25">
        <v>410</v>
      </c>
    </row>
    <row r="80" spans="3:16" s="17" customFormat="1" ht="12.75" x14ac:dyDescent="0.2">
      <c r="C80" s="18"/>
      <c r="D80" s="20" t="s">
        <v>153</v>
      </c>
      <c r="E80" s="21" t="s">
        <v>86</v>
      </c>
      <c r="F80" s="22" t="s">
        <v>154</v>
      </c>
      <c r="G80" s="23">
        <f t="shared" si="0"/>
        <v>4.9728239999999992</v>
      </c>
      <c r="H80" s="27">
        <f>H62</f>
        <v>1.1807999999999998</v>
      </c>
      <c r="I80" s="27"/>
      <c r="J80" s="27">
        <f>K67</f>
        <v>3.7920239999999996</v>
      </c>
      <c r="K80" s="27"/>
      <c r="L80" s="19"/>
      <c r="M80" s="24"/>
      <c r="P80" s="25">
        <v>440</v>
      </c>
    </row>
    <row r="81" spans="3:16" s="17" customFormat="1" ht="12.75" x14ac:dyDescent="0.2">
      <c r="C81" s="18"/>
      <c r="D81" s="20" t="s">
        <v>155</v>
      </c>
      <c r="E81" s="21" t="s">
        <v>89</v>
      </c>
      <c r="F81" s="22" t="s">
        <v>156</v>
      </c>
      <c r="G81" s="23">
        <f t="shared" si="0"/>
        <v>0</v>
      </c>
      <c r="H81" s="27"/>
      <c r="I81" s="27"/>
      <c r="J81" s="27"/>
      <c r="K81" s="27"/>
      <c r="L81" s="19"/>
      <c r="M81" s="24"/>
      <c r="P81" s="25">
        <v>450</v>
      </c>
    </row>
    <row r="82" spans="3:16" s="17" customFormat="1" ht="12.75" x14ac:dyDescent="0.2">
      <c r="C82" s="18"/>
      <c r="D82" s="20" t="s">
        <v>157</v>
      </c>
      <c r="E82" s="21" t="s">
        <v>92</v>
      </c>
      <c r="F82" s="22" t="s">
        <v>158</v>
      </c>
      <c r="G82" s="23">
        <f t="shared" si="0"/>
        <v>0</v>
      </c>
      <c r="H82" s="27"/>
      <c r="I82" s="27"/>
      <c r="J82" s="27"/>
      <c r="K82" s="27"/>
      <c r="L82" s="19"/>
      <c r="M82" s="24"/>
      <c r="P82" s="25">
        <v>470</v>
      </c>
    </row>
    <row r="83" spans="3:16" s="17" customFormat="1" ht="12.75" x14ac:dyDescent="0.2">
      <c r="C83" s="18"/>
      <c r="D83" s="20" t="s">
        <v>159</v>
      </c>
      <c r="E83" s="21" t="s">
        <v>95</v>
      </c>
      <c r="F83" s="22" t="s">
        <v>160</v>
      </c>
      <c r="G83" s="23">
        <f t="shared" si="0"/>
        <v>0.22009999999999952</v>
      </c>
      <c r="H83" s="27"/>
      <c r="I83" s="27"/>
      <c r="J83" s="27"/>
      <c r="K83" s="27">
        <f>G62-G73</f>
        <v>0.22009999999999952</v>
      </c>
      <c r="L83" s="19"/>
      <c r="M83" s="24"/>
      <c r="P83" s="25">
        <v>480</v>
      </c>
    </row>
    <row r="84" spans="3:16" s="17" customFormat="1" ht="12.75" x14ac:dyDescent="0.2">
      <c r="C84" s="18"/>
      <c r="D84" s="20" t="s">
        <v>161</v>
      </c>
      <c r="E84" s="26" t="s">
        <v>162</v>
      </c>
      <c r="F84" s="22" t="s">
        <v>163</v>
      </c>
      <c r="G84" s="23">
        <f t="shared" si="0"/>
        <v>0</v>
      </c>
      <c r="H84" s="27"/>
      <c r="I84" s="27"/>
      <c r="J84" s="27"/>
      <c r="K84" s="27"/>
      <c r="L84" s="19"/>
      <c r="M84" s="24"/>
      <c r="P84" s="25">
        <v>490</v>
      </c>
    </row>
    <row r="85" spans="3:16" s="17" customFormat="1" ht="12.75" x14ac:dyDescent="0.2">
      <c r="C85" s="18"/>
      <c r="D85" s="20" t="s">
        <v>164</v>
      </c>
      <c r="E85" s="21" t="s">
        <v>101</v>
      </c>
      <c r="F85" s="22" t="s">
        <v>165</v>
      </c>
      <c r="G85" s="23">
        <f t="shared" si="0"/>
        <v>0.22009999999999999</v>
      </c>
      <c r="H85" s="27"/>
      <c r="I85" s="27"/>
      <c r="J85" s="27"/>
      <c r="K85" s="27">
        <v>0.22009999999999999</v>
      </c>
      <c r="L85" s="19"/>
      <c r="M85" s="24"/>
      <c r="P85" s="25"/>
    </row>
    <row r="86" spans="3:16" s="17" customFormat="1" ht="22.5" x14ac:dyDescent="0.2">
      <c r="C86" s="18"/>
      <c r="D86" s="20" t="s">
        <v>166</v>
      </c>
      <c r="E86" s="46" t="s">
        <v>104</v>
      </c>
      <c r="F86" s="22" t="s">
        <v>167</v>
      </c>
      <c r="G86" s="23">
        <f t="shared" si="0"/>
        <v>-4.7184478546569153E-16</v>
      </c>
      <c r="H86" s="23">
        <f>H83-H85</f>
        <v>0</v>
      </c>
      <c r="I86" s="23">
        <f>I83-I85</f>
        <v>0</v>
      </c>
      <c r="J86" s="23">
        <f>J83-J85</f>
        <v>0</v>
      </c>
      <c r="K86" s="23">
        <f>K83-K85</f>
        <v>-4.7184478546569153E-16</v>
      </c>
      <c r="L86" s="19"/>
      <c r="M86" s="24"/>
      <c r="P86" s="25"/>
    </row>
    <row r="87" spans="3:16" s="17" customFormat="1" ht="12.75" x14ac:dyDescent="0.2">
      <c r="C87" s="18"/>
      <c r="D87" s="20" t="s">
        <v>168</v>
      </c>
      <c r="E87" s="21" t="s">
        <v>107</v>
      </c>
      <c r="F87" s="22" t="s">
        <v>169</v>
      </c>
      <c r="G87" s="23">
        <f t="shared" si="0"/>
        <v>0</v>
      </c>
      <c r="H87" s="23">
        <f>(H52+H64+H69)-(H70+H80+H81+H82+H83)</f>
        <v>0</v>
      </c>
      <c r="I87" s="23">
        <f>(I52+I64+I69)-(I70+I80+I81+I82+I83)</f>
        <v>0</v>
      </c>
      <c r="J87" s="23">
        <f>(J52+J64+J69)-(J70+J80+J81+J82+J83)</f>
        <v>0</v>
      </c>
      <c r="K87" s="23">
        <f>(K52+K64+K69)-(K70+K80+K81+K82+K83)</f>
        <v>0</v>
      </c>
      <c r="L87" s="19"/>
      <c r="M87" s="24"/>
      <c r="P87" s="25">
        <v>500</v>
      </c>
    </row>
    <row r="88" spans="3:16" s="17" customFormat="1" ht="12.75" x14ac:dyDescent="0.2">
      <c r="C88" s="18"/>
      <c r="D88" s="87" t="s">
        <v>170</v>
      </c>
      <c r="E88" s="88"/>
      <c r="F88" s="88"/>
      <c r="G88" s="88"/>
      <c r="H88" s="88"/>
      <c r="I88" s="88"/>
      <c r="J88" s="88"/>
      <c r="K88" s="89"/>
      <c r="L88" s="19"/>
      <c r="M88" s="24"/>
      <c r="P88" s="36"/>
    </row>
    <row r="89" spans="3:16" s="17" customFormat="1" ht="12.75" x14ac:dyDescent="0.2">
      <c r="C89" s="18"/>
      <c r="D89" s="20" t="s">
        <v>171</v>
      </c>
      <c r="E89" s="21" t="s">
        <v>172</v>
      </c>
      <c r="F89" s="22" t="s">
        <v>173</v>
      </c>
      <c r="G89" s="23">
        <f t="shared" si="0"/>
        <v>4.6999000000000004</v>
      </c>
      <c r="H89" s="27"/>
      <c r="I89" s="27"/>
      <c r="J89" s="42">
        <f>J73</f>
        <v>1.1279760000000001</v>
      </c>
      <c r="K89" s="42">
        <f>K73</f>
        <v>3.5719240000000001</v>
      </c>
      <c r="L89" s="19"/>
      <c r="M89" s="24"/>
      <c r="P89" s="25">
        <v>600</v>
      </c>
    </row>
    <row r="90" spans="3:16" s="17" customFormat="1" ht="12.75" x14ac:dyDescent="0.2">
      <c r="C90" s="18"/>
      <c r="D90" s="20" t="s">
        <v>174</v>
      </c>
      <c r="E90" s="21" t="s">
        <v>175</v>
      </c>
      <c r="F90" s="22" t="s">
        <v>176</v>
      </c>
      <c r="G90" s="23">
        <f t="shared" si="0"/>
        <v>0</v>
      </c>
      <c r="H90" s="27"/>
      <c r="I90" s="27"/>
      <c r="J90" s="27"/>
      <c r="K90" s="27"/>
      <c r="L90" s="19"/>
      <c r="M90" s="24"/>
      <c r="P90" s="25">
        <v>610</v>
      </c>
    </row>
    <row r="91" spans="3:16" s="17" customFormat="1" ht="12.75" x14ac:dyDescent="0.2">
      <c r="C91" s="18"/>
      <c r="D91" s="20" t="s">
        <v>177</v>
      </c>
      <c r="E91" s="21" t="s">
        <v>178</v>
      </c>
      <c r="F91" s="22" t="s">
        <v>179</v>
      </c>
      <c r="G91" s="23">
        <f t="shared" si="0"/>
        <v>0</v>
      </c>
      <c r="H91" s="27"/>
      <c r="I91" s="27"/>
      <c r="J91" s="27"/>
      <c r="K91" s="27"/>
      <c r="L91" s="19"/>
      <c r="M91" s="24"/>
      <c r="P91" s="25">
        <v>620</v>
      </c>
    </row>
    <row r="92" spans="3:16" s="17" customFormat="1" ht="12.75" x14ac:dyDescent="0.2">
      <c r="C92" s="18"/>
      <c r="D92" s="87" t="s">
        <v>180</v>
      </c>
      <c r="E92" s="88"/>
      <c r="F92" s="88"/>
      <c r="G92" s="88"/>
      <c r="H92" s="88"/>
      <c r="I92" s="88"/>
      <c r="J92" s="88"/>
      <c r="K92" s="89"/>
      <c r="L92" s="19"/>
      <c r="M92" s="24"/>
      <c r="P92" s="36"/>
    </row>
    <row r="93" spans="3:16" s="17" customFormat="1" ht="12.75" x14ac:dyDescent="0.2">
      <c r="C93" s="18"/>
      <c r="D93" s="20" t="s">
        <v>181</v>
      </c>
      <c r="E93" s="21" t="s">
        <v>182</v>
      </c>
      <c r="F93" s="22" t="s">
        <v>183</v>
      </c>
      <c r="G93" s="23">
        <f t="shared" si="0"/>
        <v>0</v>
      </c>
      <c r="H93" s="23">
        <f>SUM(H94:H95)</f>
        <v>0</v>
      </c>
      <c r="I93" s="23">
        <f>SUM(I94:I95)</f>
        <v>0</v>
      </c>
      <c r="J93" s="23">
        <f>SUM(J94:J95)</f>
        <v>0</v>
      </c>
      <c r="K93" s="23">
        <f>SUM(K94:K95)</f>
        <v>0</v>
      </c>
      <c r="L93" s="19"/>
      <c r="M93" s="24"/>
      <c r="P93" s="25">
        <v>700</v>
      </c>
    </row>
    <row r="94" spans="3:16" ht="12.75" x14ac:dyDescent="0.2">
      <c r="C94" s="6"/>
      <c r="D94" s="55" t="s">
        <v>184</v>
      </c>
      <c r="E94" s="26" t="s">
        <v>185</v>
      </c>
      <c r="F94" s="22" t="s">
        <v>186</v>
      </c>
      <c r="G94" s="23">
        <f t="shared" si="0"/>
        <v>0</v>
      </c>
      <c r="H94" s="56"/>
      <c r="I94" s="56"/>
      <c r="J94" s="56"/>
      <c r="K94" s="56"/>
      <c r="L94" s="13"/>
      <c r="M94" s="24"/>
      <c r="P94" s="25">
        <v>710</v>
      </c>
    </row>
    <row r="95" spans="3:16" ht="12.75" x14ac:dyDescent="0.2">
      <c r="C95" s="6"/>
      <c r="D95" s="55" t="s">
        <v>187</v>
      </c>
      <c r="E95" s="26" t="s">
        <v>188</v>
      </c>
      <c r="F95" s="22" t="s">
        <v>189</v>
      </c>
      <c r="G95" s="23">
        <f t="shared" si="0"/>
        <v>0</v>
      </c>
      <c r="H95" s="57">
        <f>H98</f>
        <v>0</v>
      </c>
      <c r="I95" s="57">
        <f>I98</f>
        <v>0</v>
      </c>
      <c r="J95" s="57">
        <f>J98</f>
        <v>0</v>
      </c>
      <c r="K95" s="57">
        <f>K98</f>
        <v>0</v>
      </c>
      <c r="L95" s="13"/>
      <c r="M95" s="24"/>
      <c r="P95" s="25">
        <v>720</v>
      </c>
    </row>
    <row r="96" spans="3:16" ht="12.75" x14ac:dyDescent="0.2">
      <c r="C96" s="6"/>
      <c r="D96" s="55" t="s">
        <v>190</v>
      </c>
      <c r="E96" s="48" t="s">
        <v>191</v>
      </c>
      <c r="F96" s="22" t="s">
        <v>192</v>
      </c>
      <c r="G96" s="23">
        <f t="shared" si="0"/>
        <v>0</v>
      </c>
      <c r="H96" s="56"/>
      <c r="I96" s="56"/>
      <c r="J96" s="56"/>
      <c r="K96" s="56"/>
      <c r="L96" s="13"/>
      <c r="M96" s="24"/>
      <c r="P96" s="25">
        <v>730</v>
      </c>
    </row>
    <row r="97" spans="3:16" ht="12.75" x14ac:dyDescent="0.2">
      <c r="C97" s="6"/>
      <c r="D97" s="55" t="s">
        <v>193</v>
      </c>
      <c r="E97" s="49" t="s">
        <v>194</v>
      </c>
      <c r="F97" s="22" t="s">
        <v>195</v>
      </c>
      <c r="G97" s="23">
        <f t="shared" si="0"/>
        <v>0</v>
      </c>
      <c r="H97" s="56"/>
      <c r="I97" s="56"/>
      <c r="J97" s="56"/>
      <c r="K97" s="56"/>
      <c r="L97" s="13"/>
      <c r="M97" s="24"/>
      <c r="P97" s="25"/>
    </row>
    <row r="98" spans="3:16" ht="12.75" x14ac:dyDescent="0.2">
      <c r="C98" s="6"/>
      <c r="D98" s="55" t="s">
        <v>196</v>
      </c>
      <c r="E98" s="48" t="s">
        <v>197</v>
      </c>
      <c r="F98" s="22" t="s">
        <v>198</v>
      </c>
      <c r="G98" s="23">
        <f t="shared" si="0"/>
        <v>0</v>
      </c>
      <c r="H98" s="56"/>
      <c r="I98" s="56"/>
      <c r="J98" s="56"/>
      <c r="K98" s="56"/>
      <c r="L98" s="13"/>
      <c r="M98" s="24"/>
      <c r="P98" s="25">
        <v>740</v>
      </c>
    </row>
    <row r="99" spans="3:16" ht="12.75" x14ac:dyDescent="0.2">
      <c r="C99" s="6"/>
      <c r="D99" s="55" t="s">
        <v>199</v>
      </c>
      <c r="E99" s="21" t="s">
        <v>200</v>
      </c>
      <c r="F99" s="22" t="s">
        <v>201</v>
      </c>
      <c r="G99" s="23">
        <f t="shared" si="0"/>
        <v>0</v>
      </c>
      <c r="H99" s="57">
        <f>H100+H116</f>
        <v>0</v>
      </c>
      <c r="I99" s="57">
        <f>I100+I116</f>
        <v>0</v>
      </c>
      <c r="J99" s="57">
        <f>J100+J116</f>
        <v>0</v>
      </c>
      <c r="K99" s="57">
        <f>K100+K116</f>
        <v>0</v>
      </c>
      <c r="L99" s="13"/>
      <c r="M99" s="24"/>
      <c r="P99" s="25">
        <v>750</v>
      </c>
    </row>
    <row r="100" spans="3:16" ht="12.75" x14ac:dyDescent="0.2">
      <c r="C100" s="6"/>
      <c r="D100" s="55" t="s">
        <v>202</v>
      </c>
      <c r="E100" s="26" t="s">
        <v>203</v>
      </c>
      <c r="F100" s="22" t="s">
        <v>204</v>
      </c>
      <c r="G100" s="23">
        <f t="shared" si="0"/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57">
        <f>K101+K102</f>
        <v>0</v>
      </c>
      <c r="L100" s="13"/>
      <c r="M100" s="24"/>
      <c r="P100" s="25">
        <v>760</v>
      </c>
    </row>
    <row r="101" spans="3:16" ht="12.75" x14ac:dyDescent="0.2">
      <c r="C101" s="6"/>
      <c r="D101" s="55" t="s">
        <v>205</v>
      </c>
      <c r="E101" s="48" t="s">
        <v>206</v>
      </c>
      <c r="F101" s="22" t="s">
        <v>207</v>
      </c>
      <c r="G101" s="23">
        <f t="shared" si="0"/>
        <v>0</v>
      </c>
      <c r="H101" s="56"/>
      <c r="I101" s="56"/>
      <c r="J101" s="56"/>
      <c r="K101" s="56"/>
      <c r="L101" s="13"/>
      <c r="M101" s="24"/>
      <c r="P101" s="25"/>
    </row>
    <row r="102" spans="3:16" ht="12.75" x14ac:dyDescent="0.2">
      <c r="C102" s="6"/>
      <c r="D102" s="55" t="s">
        <v>208</v>
      </c>
      <c r="E102" s="48" t="s">
        <v>209</v>
      </c>
      <c r="F102" s="22" t="s">
        <v>210</v>
      </c>
      <c r="G102" s="23">
        <f t="shared" si="0"/>
        <v>0</v>
      </c>
      <c r="H102" s="57">
        <f>H103+H106+H109+H112+H113+H114+H115</f>
        <v>0</v>
      </c>
      <c r="I102" s="57">
        <f>I103+I106+I109+I112+I113+I114+I115</f>
        <v>0</v>
      </c>
      <c r="J102" s="57">
        <f>J103+J106+J109+J112+J113+J114+J115</f>
        <v>0</v>
      </c>
      <c r="K102" s="57">
        <f>K103+K106+K109+K112+K113+K114+K115</f>
        <v>0</v>
      </c>
      <c r="L102" s="13"/>
      <c r="M102" s="24"/>
      <c r="P102" s="25"/>
    </row>
    <row r="103" spans="3:16" ht="33.75" x14ac:dyDescent="0.2">
      <c r="C103" s="6"/>
      <c r="D103" s="55" t="s">
        <v>211</v>
      </c>
      <c r="E103" s="49" t="s">
        <v>212</v>
      </c>
      <c r="F103" s="22" t="s">
        <v>213</v>
      </c>
      <c r="G103" s="23">
        <f t="shared" si="0"/>
        <v>0</v>
      </c>
      <c r="H103" s="58">
        <f>H104+H105</f>
        <v>0</v>
      </c>
      <c r="I103" s="58">
        <f>I104+I105</f>
        <v>0</v>
      </c>
      <c r="J103" s="58">
        <f>J104+J105</f>
        <v>0</v>
      </c>
      <c r="K103" s="58">
        <f>K104+K105</f>
        <v>0</v>
      </c>
      <c r="L103" s="13"/>
      <c r="M103" s="24"/>
      <c r="P103" s="25"/>
    </row>
    <row r="104" spans="3:16" ht="12.75" x14ac:dyDescent="0.2">
      <c r="C104" s="6"/>
      <c r="D104" s="55" t="s">
        <v>214</v>
      </c>
      <c r="E104" s="59" t="s">
        <v>215</v>
      </c>
      <c r="F104" s="22" t="s">
        <v>216</v>
      </c>
      <c r="G104" s="23">
        <f t="shared" si="0"/>
        <v>0</v>
      </c>
      <c r="H104" s="56"/>
      <c r="I104" s="56"/>
      <c r="J104" s="56"/>
      <c r="K104" s="56"/>
      <c r="L104" s="13"/>
      <c r="M104" s="24"/>
      <c r="P104" s="25"/>
    </row>
    <row r="105" spans="3:16" ht="12.75" x14ac:dyDescent="0.2">
      <c r="C105" s="6"/>
      <c r="D105" s="55" t="s">
        <v>217</v>
      </c>
      <c r="E105" s="59" t="s">
        <v>218</v>
      </c>
      <c r="F105" s="22" t="s">
        <v>219</v>
      </c>
      <c r="G105" s="23">
        <f t="shared" si="0"/>
        <v>0</v>
      </c>
      <c r="H105" s="56"/>
      <c r="I105" s="56"/>
      <c r="J105" s="56"/>
      <c r="K105" s="56"/>
      <c r="L105" s="13"/>
      <c r="M105" s="24"/>
      <c r="P105" s="25"/>
    </row>
    <row r="106" spans="3:16" ht="33.75" x14ac:dyDescent="0.2">
      <c r="C106" s="6"/>
      <c r="D106" s="55" t="s">
        <v>220</v>
      </c>
      <c r="E106" s="49" t="s">
        <v>221</v>
      </c>
      <c r="F106" s="22" t="s">
        <v>222</v>
      </c>
      <c r="G106" s="23">
        <f t="shared" si="0"/>
        <v>0</v>
      </c>
      <c r="H106" s="58">
        <f>H107+H108</f>
        <v>0</v>
      </c>
      <c r="I106" s="58">
        <f>I107+I108</f>
        <v>0</v>
      </c>
      <c r="J106" s="58">
        <f>J107+J108</f>
        <v>0</v>
      </c>
      <c r="K106" s="58">
        <f>K107+K108</f>
        <v>0</v>
      </c>
      <c r="L106" s="13"/>
      <c r="M106" s="24"/>
      <c r="P106" s="25"/>
    </row>
    <row r="107" spans="3:16" ht="12.75" x14ac:dyDescent="0.2">
      <c r="C107" s="6"/>
      <c r="D107" s="55" t="s">
        <v>223</v>
      </c>
      <c r="E107" s="59" t="s">
        <v>215</v>
      </c>
      <c r="F107" s="22" t="s">
        <v>224</v>
      </c>
      <c r="G107" s="23">
        <f t="shared" si="0"/>
        <v>0</v>
      </c>
      <c r="H107" s="56"/>
      <c r="I107" s="56"/>
      <c r="J107" s="56"/>
      <c r="K107" s="56"/>
      <c r="L107" s="13"/>
      <c r="M107" s="24"/>
      <c r="P107" s="25"/>
    </row>
    <row r="108" spans="3:16" ht="12.75" x14ac:dyDescent="0.2">
      <c r="C108" s="6"/>
      <c r="D108" s="55" t="s">
        <v>225</v>
      </c>
      <c r="E108" s="59" t="s">
        <v>218</v>
      </c>
      <c r="F108" s="22" t="s">
        <v>226</v>
      </c>
      <c r="G108" s="23">
        <f t="shared" si="0"/>
        <v>0</v>
      </c>
      <c r="H108" s="56"/>
      <c r="I108" s="56"/>
      <c r="J108" s="56"/>
      <c r="K108" s="56"/>
      <c r="L108" s="13"/>
      <c r="M108" s="24"/>
      <c r="P108" s="25"/>
    </row>
    <row r="109" spans="3:16" ht="22.5" x14ac:dyDescent="0.2">
      <c r="C109" s="6"/>
      <c r="D109" s="55" t="s">
        <v>227</v>
      </c>
      <c r="E109" s="49" t="s">
        <v>228</v>
      </c>
      <c r="F109" s="22" t="s">
        <v>229</v>
      </c>
      <c r="G109" s="23">
        <f t="shared" si="0"/>
        <v>0</v>
      </c>
      <c r="H109" s="58">
        <f>H110+H111</f>
        <v>0</v>
      </c>
      <c r="I109" s="58">
        <f>I110+I111</f>
        <v>0</v>
      </c>
      <c r="J109" s="58">
        <f>J110+J111</f>
        <v>0</v>
      </c>
      <c r="K109" s="58">
        <f>K110+K111</f>
        <v>0</v>
      </c>
      <c r="L109" s="13"/>
      <c r="M109" s="24"/>
      <c r="P109" s="25"/>
    </row>
    <row r="110" spans="3:16" ht="12.75" x14ac:dyDescent="0.2">
      <c r="C110" s="6"/>
      <c r="D110" s="55" t="s">
        <v>230</v>
      </c>
      <c r="E110" s="59" t="s">
        <v>215</v>
      </c>
      <c r="F110" s="22" t="s">
        <v>231</v>
      </c>
      <c r="G110" s="23">
        <f t="shared" si="0"/>
        <v>0</v>
      </c>
      <c r="H110" s="56"/>
      <c r="I110" s="56"/>
      <c r="J110" s="56"/>
      <c r="K110" s="56"/>
      <c r="L110" s="13"/>
      <c r="M110" s="24"/>
      <c r="P110" s="25"/>
    </row>
    <row r="111" spans="3:16" ht="12.75" x14ac:dyDescent="0.2">
      <c r="C111" s="6"/>
      <c r="D111" s="55" t="s">
        <v>232</v>
      </c>
      <c r="E111" s="59" t="s">
        <v>218</v>
      </c>
      <c r="F111" s="22" t="s">
        <v>233</v>
      </c>
      <c r="G111" s="23">
        <f t="shared" si="0"/>
        <v>0</v>
      </c>
      <c r="H111" s="56"/>
      <c r="I111" s="56"/>
      <c r="J111" s="56"/>
      <c r="K111" s="56"/>
      <c r="L111" s="13"/>
      <c r="M111" s="24"/>
      <c r="P111" s="25"/>
    </row>
    <row r="112" spans="3:16" ht="12.75" x14ac:dyDescent="0.2">
      <c r="C112" s="6"/>
      <c r="D112" s="55" t="s">
        <v>234</v>
      </c>
      <c r="E112" s="49" t="s">
        <v>235</v>
      </c>
      <c r="F112" s="22" t="s">
        <v>236</v>
      </c>
      <c r="G112" s="23">
        <f t="shared" si="0"/>
        <v>0</v>
      </c>
      <c r="H112" s="56"/>
      <c r="I112" s="56"/>
      <c r="J112" s="56"/>
      <c r="K112" s="56"/>
      <c r="L112" s="13"/>
      <c r="M112" s="24"/>
      <c r="P112" s="25"/>
    </row>
    <row r="113" spans="3:16" ht="12.75" x14ac:dyDescent="0.2">
      <c r="C113" s="6"/>
      <c r="D113" s="55" t="s">
        <v>237</v>
      </c>
      <c r="E113" s="49" t="s">
        <v>238</v>
      </c>
      <c r="F113" s="22" t="s">
        <v>239</v>
      </c>
      <c r="G113" s="23">
        <f t="shared" si="0"/>
        <v>0</v>
      </c>
      <c r="H113" s="56"/>
      <c r="I113" s="56"/>
      <c r="J113" s="56"/>
      <c r="K113" s="56"/>
      <c r="L113" s="13"/>
      <c r="M113" s="24"/>
      <c r="P113" s="25"/>
    </row>
    <row r="114" spans="3:16" ht="33.75" x14ac:dyDescent="0.2">
      <c r="C114" s="6"/>
      <c r="D114" s="55" t="s">
        <v>240</v>
      </c>
      <c r="E114" s="49" t="s">
        <v>241</v>
      </c>
      <c r="F114" s="22" t="s">
        <v>242</v>
      </c>
      <c r="G114" s="23">
        <f t="shared" si="0"/>
        <v>0</v>
      </c>
      <c r="H114" s="56"/>
      <c r="I114" s="56"/>
      <c r="J114" s="56"/>
      <c r="K114" s="56"/>
      <c r="L114" s="13"/>
      <c r="M114" s="24"/>
      <c r="P114" s="25"/>
    </row>
    <row r="115" spans="3:16" ht="22.5" x14ac:dyDescent="0.2">
      <c r="C115" s="6"/>
      <c r="D115" s="55" t="s">
        <v>243</v>
      </c>
      <c r="E115" s="49" t="s">
        <v>244</v>
      </c>
      <c r="F115" s="22" t="s">
        <v>245</v>
      </c>
      <c r="G115" s="23">
        <f t="shared" si="0"/>
        <v>0</v>
      </c>
      <c r="H115" s="56"/>
      <c r="I115" s="56"/>
      <c r="J115" s="56"/>
      <c r="K115" s="56"/>
      <c r="L115" s="13"/>
      <c r="M115" s="24"/>
      <c r="P115" s="25"/>
    </row>
    <row r="116" spans="3:16" ht="12.75" x14ac:dyDescent="0.2">
      <c r="C116" s="6"/>
      <c r="D116" s="55" t="s">
        <v>246</v>
      </c>
      <c r="E116" s="26" t="s">
        <v>247</v>
      </c>
      <c r="F116" s="22" t="s">
        <v>248</v>
      </c>
      <c r="G116" s="23">
        <f t="shared" si="0"/>
        <v>0</v>
      </c>
      <c r="H116" s="57">
        <f>H119</f>
        <v>0</v>
      </c>
      <c r="I116" s="57">
        <f>I119</f>
        <v>0</v>
      </c>
      <c r="J116" s="57">
        <f>J119</f>
        <v>0</v>
      </c>
      <c r="K116" s="57">
        <f>K119</f>
        <v>0</v>
      </c>
      <c r="L116" s="13"/>
      <c r="M116" s="24"/>
      <c r="P116" s="25">
        <v>770</v>
      </c>
    </row>
    <row r="117" spans="3:16" ht="12.75" x14ac:dyDescent="0.2">
      <c r="C117" s="6"/>
      <c r="D117" s="55" t="s">
        <v>249</v>
      </c>
      <c r="E117" s="48" t="s">
        <v>191</v>
      </c>
      <c r="F117" s="22" t="s">
        <v>250</v>
      </c>
      <c r="G117" s="23">
        <f t="shared" si="0"/>
        <v>0</v>
      </c>
      <c r="H117" s="56"/>
      <c r="I117" s="56"/>
      <c r="J117" s="56"/>
      <c r="K117" s="56"/>
      <c r="L117" s="13"/>
      <c r="M117" s="24"/>
      <c r="P117" s="25">
        <v>780</v>
      </c>
    </row>
    <row r="118" spans="3:16" ht="12.75" x14ac:dyDescent="0.2">
      <c r="C118" s="6"/>
      <c r="D118" s="55" t="s">
        <v>251</v>
      </c>
      <c r="E118" s="49" t="s">
        <v>252</v>
      </c>
      <c r="F118" s="22" t="s">
        <v>253</v>
      </c>
      <c r="G118" s="23">
        <f t="shared" si="0"/>
        <v>0</v>
      </c>
      <c r="H118" s="56"/>
      <c r="I118" s="56"/>
      <c r="J118" s="56"/>
      <c r="K118" s="56"/>
      <c r="L118" s="13"/>
      <c r="M118" s="24"/>
      <c r="P118" s="25"/>
    </row>
    <row r="119" spans="3:16" ht="12.75" x14ac:dyDescent="0.2">
      <c r="C119" s="6"/>
      <c r="D119" s="55" t="s">
        <v>254</v>
      </c>
      <c r="E119" s="48" t="s">
        <v>197</v>
      </c>
      <c r="F119" s="22" t="s">
        <v>255</v>
      </c>
      <c r="G119" s="23">
        <f t="shared" si="0"/>
        <v>0</v>
      </c>
      <c r="H119" s="56"/>
      <c r="I119" s="56"/>
      <c r="J119" s="56"/>
      <c r="K119" s="56"/>
      <c r="L119" s="13"/>
      <c r="M119" s="24"/>
      <c r="P119" s="25">
        <v>790</v>
      </c>
    </row>
    <row r="120" spans="3:16" ht="12.75" x14ac:dyDescent="0.2">
      <c r="C120" s="6"/>
      <c r="D120" s="55" t="s">
        <v>256</v>
      </c>
      <c r="E120" s="46" t="s">
        <v>257</v>
      </c>
      <c r="F120" s="22" t="s">
        <v>258</v>
      </c>
      <c r="G120" s="23">
        <f t="shared" si="0"/>
        <v>2354.8599999999997</v>
      </c>
      <c r="H120" s="57">
        <f>SUM(H121:H122)</f>
        <v>0</v>
      </c>
      <c r="I120" s="57">
        <f>SUM(I121:I122)</f>
        <v>0</v>
      </c>
      <c r="J120" s="57">
        <f>SUM(J121:J122)</f>
        <v>223.91200000000001</v>
      </c>
      <c r="K120" s="57">
        <f>SUM(K121:K122)</f>
        <v>2130.9479999999999</v>
      </c>
      <c r="L120" s="13"/>
      <c r="M120" s="24"/>
      <c r="P120" s="25"/>
    </row>
    <row r="121" spans="3:16" ht="12.75" x14ac:dyDescent="0.2">
      <c r="C121" s="6"/>
      <c r="D121" s="55" t="s">
        <v>259</v>
      </c>
      <c r="E121" s="26" t="s">
        <v>185</v>
      </c>
      <c r="F121" s="22" t="s">
        <v>260</v>
      </c>
      <c r="G121" s="23">
        <f t="shared" si="0"/>
        <v>2354.8599999999997</v>
      </c>
      <c r="H121" s="56"/>
      <c r="I121" s="56"/>
      <c r="J121" s="56">
        <f>J36</f>
        <v>223.91200000000001</v>
      </c>
      <c r="K121" s="56">
        <f>K36</f>
        <v>2130.9479999999999</v>
      </c>
      <c r="L121" s="13"/>
      <c r="M121" s="24"/>
      <c r="P121" s="25"/>
    </row>
    <row r="122" spans="3:16" ht="12.75" x14ac:dyDescent="0.2">
      <c r="C122" s="6"/>
      <c r="D122" s="55" t="s">
        <v>261</v>
      </c>
      <c r="E122" s="26" t="s">
        <v>188</v>
      </c>
      <c r="F122" s="22" t="s">
        <v>262</v>
      </c>
      <c r="G122" s="23">
        <f t="shared" si="0"/>
        <v>0</v>
      </c>
      <c r="H122" s="57">
        <f>H124</f>
        <v>0</v>
      </c>
      <c r="I122" s="57">
        <f>I124</f>
        <v>0</v>
      </c>
      <c r="J122" s="57">
        <f>J124</f>
        <v>0</v>
      </c>
      <c r="K122" s="57">
        <f>K124</f>
        <v>0</v>
      </c>
      <c r="L122" s="13"/>
      <c r="M122" s="24"/>
      <c r="P122" s="25"/>
    </row>
    <row r="123" spans="3:16" ht="12.75" x14ac:dyDescent="0.2">
      <c r="C123" s="6"/>
      <c r="D123" s="55" t="s">
        <v>263</v>
      </c>
      <c r="E123" s="48" t="s">
        <v>264</v>
      </c>
      <c r="F123" s="22" t="s">
        <v>265</v>
      </c>
      <c r="G123" s="23">
        <f t="shared" si="0"/>
        <v>0</v>
      </c>
      <c r="H123" s="56"/>
      <c r="I123" s="56"/>
      <c r="J123" s="56"/>
      <c r="K123" s="56"/>
      <c r="L123" s="13"/>
      <c r="M123" s="24"/>
      <c r="P123" s="25"/>
    </row>
    <row r="124" spans="3:16" ht="12.75" x14ac:dyDescent="0.2">
      <c r="C124" s="6"/>
      <c r="D124" s="55" t="s">
        <v>266</v>
      </c>
      <c r="E124" s="48" t="s">
        <v>197</v>
      </c>
      <c r="F124" s="22" t="s">
        <v>267</v>
      </c>
      <c r="G124" s="23">
        <f t="shared" si="0"/>
        <v>0</v>
      </c>
      <c r="H124" s="56"/>
      <c r="I124" s="56"/>
      <c r="J124" s="56"/>
      <c r="K124" s="56"/>
      <c r="L124" s="13"/>
      <c r="M124" s="24"/>
      <c r="P124" s="25"/>
    </row>
    <row r="125" spans="3:16" ht="12.75" x14ac:dyDescent="0.2">
      <c r="C125" s="6"/>
      <c r="D125" s="87" t="s">
        <v>268</v>
      </c>
      <c r="E125" s="88"/>
      <c r="F125" s="88"/>
      <c r="G125" s="88"/>
      <c r="H125" s="88"/>
      <c r="I125" s="88"/>
      <c r="J125" s="88"/>
      <c r="K125" s="89"/>
      <c r="L125" s="13"/>
      <c r="M125" s="24"/>
      <c r="P125" s="60"/>
    </row>
    <row r="126" spans="3:16" ht="22.5" x14ac:dyDescent="0.2">
      <c r="C126" s="6"/>
      <c r="D126" s="55" t="s">
        <v>269</v>
      </c>
      <c r="E126" s="21" t="s">
        <v>270</v>
      </c>
      <c r="F126" s="22" t="s">
        <v>271</v>
      </c>
      <c r="G126" s="23">
        <f t="shared" si="0"/>
        <v>0</v>
      </c>
      <c r="H126" s="57">
        <f>SUM( H127:H128)</f>
        <v>0</v>
      </c>
      <c r="I126" s="57">
        <f>SUM( I127:I128)</f>
        <v>0</v>
      </c>
      <c r="J126" s="57">
        <f>SUM( J127:J128)</f>
        <v>0</v>
      </c>
      <c r="K126" s="57">
        <f>SUM( K127:K128)</f>
        <v>0</v>
      </c>
      <c r="L126" s="13"/>
      <c r="M126" s="24"/>
      <c r="P126" s="25">
        <v>800</v>
      </c>
    </row>
    <row r="127" spans="3:16" ht="12.75" x14ac:dyDescent="0.2">
      <c r="C127" s="6"/>
      <c r="D127" s="55" t="s">
        <v>272</v>
      </c>
      <c r="E127" s="26" t="s">
        <v>185</v>
      </c>
      <c r="F127" s="22" t="s">
        <v>273</v>
      </c>
      <c r="G127" s="23">
        <f t="shared" si="0"/>
        <v>0</v>
      </c>
      <c r="H127" s="56"/>
      <c r="I127" s="56"/>
      <c r="J127" s="56"/>
      <c r="K127" s="56"/>
      <c r="L127" s="13"/>
      <c r="M127" s="24"/>
      <c r="P127" s="25">
        <v>810</v>
      </c>
    </row>
    <row r="128" spans="3:16" ht="12.75" x14ac:dyDescent="0.2">
      <c r="C128" s="6"/>
      <c r="D128" s="55" t="s">
        <v>274</v>
      </c>
      <c r="E128" s="26" t="s">
        <v>188</v>
      </c>
      <c r="F128" s="22" t="s">
        <v>275</v>
      </c>
      <c r="G128" s="23">
        <f t="shared" si="0"/>
        <v>0</v>
      </c>
      <c r="H128" s="57">
        <f>H129+H131</f>
        <v>0</v>
      </c>
      <c r="I128" s="57">
        <f>I129+I131</f>
        <v>0</v>
      </c>
      <c r="J128" s="57">
        <f>J129+J131</f>
        <v>0</v>
      </c>
      <c r="K128" s="57">
        <f>K129+K131</f>
        <v>0</v>
      </c>
      <c r="L128" s="13"/>
      <c r="M128" s="24"/>
      <c r="P128" s="25">
        <v>820</v>
      </c>
    </row>
    <row r="129" spans="3:16" ht="12.75" x14ac:dyDescent="0.2">
      <c r="C129" s="6"/>
      <c r="D129" s="55" t="s">
        <v>276</v>
      </c>
      <c r="E129" s="48" t="s">
        <v>277</v>
      </c>
      <c r="F129" s="22" t="s">
        <v>278</v>
      </c>
      <c r="G129" s="23">
        <f t="shared" si="0"/>
        <v>0</v>
      </c>
      <c r="H129" s="56"/>
      <c r="I129" s="56"/>
      <c r="J129" s="56"/>
      <c r="K129" s="56"/>
      <c r="L129" s="13"/>
      <c r="M129" s="24"/>
      <c r="P129" s="25">
        <v>830</v>
      </c>
    </row>
    <row r="130" spans="3:16" ht="12.75" x14ac:dyDescent="0.2">
      <c r="C130" s="6"/>
      <c r="D130" s="55" t="s">
        <v>279</v>
      </c>
      <c r="E130" s="49" t="s">
        <v>280</v>
      </c>
      <c r="F130" s="22" t="s">
        <v>281</v>
      </c>
      <c r="G130" s="23">
        <f t="shared" si="0"/>
        <v>0</v>
      </c>
      <c r="H130" s="56"/>
      <c r="I130" s="56"/>
      <c r="J130" s="56"/>
      <c r="K130" s="56"/>
      <c r="L130" s="13"/>
      <c r="M130" s="24"/>
      <c r="P130" s="60"/>
    </row>
    <row r="131" spans="3:16" ht="12.75" x14ac:dyDescent="0.2">
      <c r="C131" s="6"/>
      <c r="D131" s="55" t="s">
        <v>282</v>
      </c>
      <c r="E131" s="48" t="s">
        <v>283</v>
      </c>
      <c r="F131" s="22" t="s">
        <v>284</v>
      </c>
      <c r="G131" s="23">
        <f t="shared" si="0"/>
        <v>0</v>
      </c>
      <c r="H131" s="56"/>
      <c r="I131" s="56"/>
      <c r="J131" s="56"/>
      <c r="K131" s="56"/>
      <c r="L131" s="13"/>
      <c r="M131" s="24"/>
      <c r="P131" s="25">
        <v>840</v>
      </c>
    </row>
    <row r="132" spans="3:16" ht="12.75" x14ac:dyDescent="0.2">
      <c r="C132" s="6"/>
      <c r="D132" s="55" t="s">
        <v>30</v>
      </c>
      <c r="E132" s="21" t="s">
        <v>285</v>
      </c>
      <c r="F132" s="22" t="s">
        <v>286</v>
      </c>
      <c r="G132" s="23">
        <f t="shared" si="0"/>
        <v>0</v>
      </c>
      <c r="H132" s="58">
        <f>SUM( H133+H138)</f>
        <v>0</v>
      </c>
      <c r="I132" s="58">
        <f>SUM( I133+I138)</f>
        <v>0</v>
      </c>
      <c r="J132" s="58">
        <f>SUM( J133+J138)</f>
        <v>0</v>
      </c>
      <c r="K132" s="58">
        <f>SUM( K133+K138)</f>
        <v>0</v>
      </c>
      <c r="L132" s="61"/>
      <c r="M132" s="24"/>
      <c r="P132" s="25">
        <v>850</v>
      </c>
    </row>
    <row r="133" spans="3:16" ht="12.75" x14ac:dyDescent="0.2">
      <c r="C133" s="6"/>
      <c r="D133" s="55" t="s">
        <v>287</v>
      </c>
      <c r="E133" s="26" t="s">
        <v>185</v>
      </c>
      <c r="F133" s="22" t="s">
        <v>288</v>
      </c>
      <c r="G133" s="23">
        <f t="shared" ref="G133:G146" si="1">SUM(H133:K133)</f>
        <v>0</v>
      </c>
      <c r="H133" s="58">
        <f>SUM( H134:H135)</f>
        <v>0</v>
      </c>
      <c r="I133" s="58">
        <f>SUM( I134:I135)</f>
        <v>0</v>
      </c>
      <c r="J133" s="58">
        <f>SUM( J134:J135)</f>
        <v>0</v>
      </c>
      <c r="K133" s="58">
        <f>SUM( K134:K135)</f>
        <v>0</v>
      </c>
      <c r="L133" s="61"/>
      <c r="M133" s="24"/>
      <c r="P133" s="25">
        <v>860</v>
      </c>
    </row>
    <row r="134" spans="3:16" ht="12.75" x14ac:dyDescent="0.2">
      <c r="C134" s="6"/>
      <c r="D134" s="55" t="s">
        <v>289</v>
      </c>
      <c r="E134" s="48" t="s">
        <v>206</v>
      </c>
      <c r="F134" s="22" t="s">
        <v>290</v>
      </c>
      <c r="G134" s="23">
        <f t="shared" si="1"/>
        <v>0</v>
      </c>
      <c r="H134" s="62"/>
      <c r="I134" s="62"/>
      <c r="J134" s="62"/>
      <c r="K134" s="62"/>
      <c r="L134" s="61"/>
      <c r="M134" s="24"/>
      <c r="P134" s="25"/>
    </row>
    <row r="135" spans="3:16" ht="12.75" x14ac:dyDescent="0.2">
      <c r="C135" s="6"/>
      <c r="D135" s="55" t="s">
        <v>291</v>
      </c>
      <c r="E135" s="48" t="s">
        <v>209</v>
      </c>
      <c r="F135" s="22" t="s">
        <v>292</v>
      </c>
      <c r="G135" s="23">
        <f t="shared" si="1"/>
        <v>0</v>
      </c>
      <c r="H135" s="58">
        <f>H136+H137</f>
        <v>0</v>
      </c>
      <c r="I135" s="58">
        <f>I136+I137</f>
        <v>0</v>
      </c>
      <c r="J135" s="58">
        <f>J136+J137</f>
        <v>0</v>
      </c>
      <c r="K135" s="58">
        <f>K136+K137</f>
        <v>0</v>
      </c>
      <c r="L135" s="61"/>
      <c r="M135" s="24"/>
      <c r="P135" s="25"/>
    </row>
    <row r="136" spans="3:16" ht="12.75" x14ac:dyDescent="0.2">
      <c r="C136" s="6"/>
      <c r="D136" s="55" t="s">
        <v>293</v>
      </c>
      <c r="E136" s="49" t="s">
        <v>215</v>
      </c>
      <c r="F136" s="22" t="s">
        <v>294</v>
      </c>
      <c r="G136" s="23">
        <f t="shared" si="1"/>
        <v>0</v>
      </c>
      <c r="H136" s="62"/>
      <c r="I136" s="62"/>
      <c r="J136" s="62"/>
      <c r="K136" s="62"/>
      <c r="L136" s="61"/>
      <c r="M136" s="24"/>
      <c r="P136" s="25"/>
    </row>
    <row r="137" spans="3:16" ht="12.75" x14ac:dyDescent="0.2">
      <c r="C137" s="6"/>
      <c r="D137" s="55" t="s">
        <v>295</v>
      </c>
      <c r="E137" s="49" t="s">
        <v>296</v>
      </c>
      <c r="F137" s="22" t="s">
        <v>297</v>
      </c>
      <c r="G137" s="23">
        <f t="shared" si="1"/>
        <v>0</v>
      </c>
      <c r="H137" s="62"/>
      <c r="I137" s="62"/>
      <c r="J137" s="62"/>
      <c r="K137" s="62"/>
      <c r="L137" s="61"/>
      <c r="M137" s="24"/>
      <c r="P137" s="25"/>
    </row>
    <row r="138" spans="3:16" ht="12.75" x14ac:dyDescent="0.2">
      <c r="C138" s="6"/>
      <c r="D138" s="55" t="s">
        <v>298</v>
      </c>
      <c r="E138" s="26" t="s">
        <v>247</v>
      </c>
      <c r="F138" s="22" t="s">
        <v>299</v>
      </c>
      <c r="G138" s="23">
        <f t="shared" si="1"/>
        <v>0</v>
      </c>
      <c r="H138" s="58">
        <f>H139+H141</f>
        <v>0</v>
      </c>
      <c r="I138" s="58">
        <f>I139+I141</f>
        <v>0</v>
      </c>
      <c r="J138" s="58">
        <f>J139+J141</f>
        <v>0</v>
      </c>
      <c r="K138" s="58">
        <f>K139+K141</f>
        <v>0</v>
      </c>
      <c r="L138" s="61"/>
      <c r="M138" s="24"/>
      <c r="P138" s="25">
        <v>870</v>
      </c>
    </row>
    <row r="139" spans="3:16" ht="12.75" x14ac:dyDescent="0.2">
      <c r="C139" s="6"/>
      <c r="D139" s="55" t="s">
        <v>300</v>
      </c>
      <c r="E139" s="48" t="s">
        <v>277</v>
      </c>
      <c r="F139" s="22" t="s">
        <v>301</v>
      </c>
      <c r="G139" s="23">
        <f t="shared" si="1"/>
        <v>0</v>
      </c>
      <c r="H139" s="56"/>
      <c r="I139" s="56"/>
      <c r="J139" s="56"/>
      <c r="K139" s="56"/>
      <c r="L139" s="61"/>
      <c r="M139" s="24"/>
      <c r="P139" s="25">
        <v>880</v>
      </c>
    </row>
    <row r="140" spans="3:16" ht="12.75" x14ac:dyDescent="0.2">
      <c r="C140" s="6"/>
      <c r="D140" s="55" t="s">
        <v>302</v>
      </c>
      <c r="E140" s="49" t="s">
        <v>280</v>
      </c>
      <c r="F140" s="22" t="s">
        <v>303</v>
      </c>
      <c r="G140" s="23">
        <f t="shared" si="1"/>
        <v>0</v>
      </c>
      <c r="H140" s="56"/>
      <c r="I140" s="56"/>
      <c r="J140" s="56"/>
      <c r="K140" s="56"/>
      <c r="L140" s="61"/>
      <c r="M140" s="24"/>
      <c r="P140" s="25"/>
    </row>
    <row r="141" spans="3:16" ht="12.75" x14ac:dyDescent="0.2">
      <c r="C141" s="6"/>
      <c r="D141" s="55" t="s">
        <v>304</v>
      </c>
      <c r="E141" s="48" t="s">
        <v>283</v>
      </c>
      <c r="F141" s="22" t="s">
        <v>305</v>
      </c>
      <c r="G141" s="23">
        <f t="shared" si="1"/>
        <v>0</v>
      </c>
      <c r="H141" s="63"/>
      <c r="I141" s="63"/>
      <c r="J141" s="63"/>
      <c r="K141" s="63"/>
      <c r="L141" s="61"/>
      <c r="M141" s="24"/>
      <c r="P141" s="25">
        <v>890</v>
      </c>
    </row>
    <row r="142" spans="3:16" ht="12.75" x14ac:dyDescent="0.2">
      <c r="C142" s="6"/>
      <c r="D142" s="55" t="s">
        <v>306</v>
      </c>
      <c r="E142" s="21" t="s">
        <v>307</v>
      </c>
      <c r="F142" s="22" t="s">
        <v>308</v>
      </c>
      <c r="G142" s="23">
        <f t="shared" si="1"/>
        <v>3452.2247600000001</v>
      </c>
      <c r="H142" s="64">
        <f>SUM( H143:H144)</f>
        <v>0</v>
      </c>
      <c r="I142" s="64">
        <f>SUM( I143:I144)</f>
        <v>0</v>
      </c>
      <c r="J142" s="64">
        <f>SUM( J143:J144)</f>
        <v>328.25499200000002</v>
      </c>
      <c r="K142" s="64">
        <f>SUM( K143:K144)</f>
        <v>3123.9697679999999</v>
      </c>
      <c r="L142" s="61"/>
      <c r="M142" s="24"/>
      <c r="P142" s="25">
        <v>900</v>
      </c>
    </row>
    <row r="143" spans="3:16" ht="12.75" x14ac:dyDescent="0.2">
      <c r="C143" s="6"/>
      <c r="D143" s="55" t="s">
        <v>309</v>
      </c>
      <c r="E143" s="26" t="s">
        <v>185</v>
      </c>
      <c r="F143" s="22" t="s">
        <v>310</v>
      </c>
      <c r="G143" s="23">
        <f t="shared" si="1"/>
        <v>3452.2247600000001</v>
      </c>
      <c r="H143" s="63"/>
      <c r="I143" s="63"/>
      <c r="J143" s="65">
        <f>J121*1.466</f>
        <v>328.25499200000002</v>
      </c>
      <c r="K143" s="65">
        <f>K121*1.466</f>
        <v>3123.9697679999999</v>
      </c>
      <c r="L143" s="61"/>
      <c r="M143" s="24"/>
      <c r="P143" s="25"/>
    </row>
    <row r="144" spans="3:16" ht="12.75" x14ac:dyDescent="0.2">
      <c r="C144" s="6"/>
      <c r="D144" s="55" t="s">
        <v>311</v>
      </c>
      <c r="E144" s="26" t="s">
        <v>188</v>
      </c>
      <c r="F144" s="22" t="s">
        <v>312</v>
      </c>
      <c r="G144" s="23">
        <f t="shared" si="1"/>
        <v>0</v>
      </c>
      <c r="H144" s="64">
        <f>H145+H146</f>
        <v>0</v>
      </c>
      <c r="I144" s="64">
        <f>I145+I146</f>
        <v>0</v>
      </c>
      <c r="J144" s="64">
        <f>J145+J146</f>
        <v>0</v>
      </c>
      <c r="K144" s="64">
        <f>K145+K146</f>
        <v>0</v>
      </c>
      <c r="L144" s="61"/>
      <c r="M144" s="24"/>
      <c r="P144" s="25"/>
    </row>
    <row r="145" spans="3:19" ht="12.75" x14ac:dyDescent="0.2">
      <c r="C145" s="6"/>
      <c r="D145" s="55" t="s">
        <v>313</v>
      </c>
      <c r="E145" s="48" t="s">
        <v>314</v>
      </c>
      <c r="F145" s="22" t="s">
        <v>315</v>
      </c>
      <c r="G145" s="23">
        <f t="shared" si="1"/>
        <v>0</v>
      </c>
      <c r="H145" s="63"/>
      <c r="I145" s="63"/>
      <c r="J145" s="63"/>
      <c r="K145" s="63"/>
      <c r="L145" s="61"/>
      <c r="M145" s="24"/>
      <c r="P145" s="25" t="s">
        <v>316</v>
      </c>
    </row>
    <row r="146" spans="3:19" ht="12.75" x14ac:dyDescent="0.2">
      <c r="C146" s="6"/>
      <c r="D146" s="55" t="s">
        <v>317</v>
      </c>
      <c r="E146" s="48" t="s">
        <v>283</v>
      </c>
      <c r="F146" s="22" t="s">
        <v>318</v>
      </c>
      <c r="G146" s="23">
        <f t="shared" si="1"/>
        <v>0</v>
      </c>
      <c r="H146" s="63"/>
      <c r="I146" s="63"/>
      <c r="J146" s="63"/>
      <c r="K146" s="66"/>
      <c r="L146" s="61"/>
      <c r="M146" s="24"/>
      <c r="P146" s="25" t="s">
        <v>319</v>
      </c>
    </row>
    <row r="147" spans="3:19" x14ac:dyDescent="0.25">
      <c r="D147" s="11"/>
      <c r="E147" s="67"/>
      <c r="F147" s="67"/>
      <c r="G147" s="67"/>
      <c r="H147" s="67"/>
      <c r="I147" s="67"/>
      <c r="J147" s="67"/>
      <c r="K147" s="68"/>
      <c r="L147" s="68"/>
      <c r="M147" s="68"/>
      <c r="N147" s="68"/>
      <c r="O147" s="68"/>
      <c r="P147" s="68"/>
      <c r="Q147" s="68"/>
      <c r="R147" s="69"/>
      <c r="S147" s="69"/>
    </row>
    <row r="148" spans="3:19" ht="12.75" x14ac:dyDescent="0.2">
      <c r="E148" s="24" t="s">
        <v>320</v>
      </c>
      <c r="F148" s="79" t="str">
        <f>IF([11]Титульный!G45="","",[11]Титульный!G45)</f>
        <v>Коммерческий директор</v>
      </c>
      <c r="G148" s="79"/>
      <c r="H148" s="70"/>
      <c r="I148" s="79" t="str">
        <f>IF([11]Титульный!G44="","",[11]Титульный!G44)</f>
        <v>Байков Алексей Александрович</v>
      </c>
      <c r="J148" s="79"/>
      <c r="K148" s="79"/>
      <c r="L148" s="70"/>
      <c r="M148" s="71"/>
      <c r="N148" s="71"/>
      <c r="O148" s="72"/>
      <c r="P148" s="68"/>
      <c r="Q148" s="68"/>
      <c r="R148" s="69"/>
      <c r="S148" s="69"/>
    </row>
    <row r="149" spans="3:19" ht="12.75" x14ac:dyDescent="0.2">
      <c r="E149" s="73" t="s">
        <v>321</v>
      </c>
      <c r="F149" s="78" t="s">
        <v>322</v>
      </c>
      <c r="G149" s="78"/>
      <c r="H149" s="72"/>
      <c r="I149" s="78" t="s">
        <v>323</v>
      </c>
      <c r="J149" s="78"/>
      <c r="K149" s="78"/>
      <c r="L149" s="72"/>
      <c r="M149" s="78" t="s">
        <v>324</v>
      </c>
      <c r="N149" s="78"/>
      <c r="O149" s="24"/>
      <c r="P149" s="68"/>
      <c r="Q149" s="68"/>
      <c r="R149" s="69"/>
      <c r="S149" s="69"/>
    </row>
    <row r="150" spans="3:19" ht="12.75" x14ac:dyDescent="0.2">
      <c r="E150" s="73" t="s">
        <v>325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68"/>
      <c r="Q150" s="68"/>
      <c r="R150" s="69"/>
      <c r="S150" s="69"/>
    </row>
    <row r="151" spans="3:19" ht="12.75" x14ac:dyDescent="0.2">
      <c r="E151" s="73" t="s">
        <v>326</v>
      </c>
      <c r="F151" s="79" t="str">
        <f>IF([11]Титульный!G46="","",[11]Титульный!G46)</f>
        <v>(495) 637 3220</v>
      </c>
      <c r="G151" s="79"/>
      <c r="H151" s="79"/>
      <c r="I151" s="24"/>
      <c r="J151" s="73" t="s">
        <v>327</v>
      </c>
      <c r="K151" s="76"/>
      <c r="L151" s="24"/>
      <c r="M151" s="24"/>
      <c r="N151" s="24"/>
      <c r="O151" s="24"/>
      <c r="P151" s="68"/>
      <c r="Q151" s="68"/>
      <c r="R151" s="69"/>
      <c r="S151" s="69"/>
    </row>
    <row r="152" spans="3:19" ht="12.75" x14ac:dyDescent="0.2">
      <c r="E152" s="24" t="s">
        <v>328</v>
      </c>
      <c r="F152" s="80" t="s">
        <v>329</v>
      </c>
      <c r="G152" s="80"/>
      <c r="H152" s="80"/>
      <c r="I152" s="24"/>
      <c r="J152" s="75" t="s">
        <v>330</v>
      </c>
      <c r="K152" s="75"/>
      <c r="L152" s="24"/>
      <c r="M152" s="24"/>
      <c r="N152" s="24"/>
      <c r="O152" s="24"/>
      <c r="P152" s="68"/>
      <c r="Q152" s="68"/>
      <c r="R152" s="69"/>
      <c r="S152" s="69"/>
    </row>
    <row r="153" spans="3:19" x14ac:dyDescent="0.25"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9"/>
      <c r="S153" s="69"/>
    </row>
    <row r="154" spans="3:19" x14ac:dyDescent="0.25"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9"/>
      <c r="S154" s="69"/>
    </row>
    <row r="155" spans="3:19" x14ac:dyDescent="0.25"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9"/>
      <c r="S155" s="69"/>
    </row>
    <row r="156" spans="3:19" x14ac:dyDescent="0.25"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9"/>
      <c r="S156" s="69"/>
    </row>
    <row r="157" spans="3:19" x14ac:dyDescent="0.25"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9"/>
      <c r="S157" s="69"/>
    </row>
    <row r="158" spans="3:19" x14ac:dyDescent="0.25"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9"/>
      <c r="S158" s="69"/>
    </row>
    <row r="159" spans="3:19" x14ac:dyDescent="0.25"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  <c r="S159" s="69"/>
    </row>
    <row r="160" spans="3:19" x14ac:dyDescent="0.25"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9"/>
      <c r="S160" s="69"/>
    </row>
    <row r="161" spans="5:19" x14ac:dyDescent="0.25"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9"/>
      <c r="S161" s="69"/>
    </row>
    <row r="162" spans="5:19" x14ac:dyDescent="0.25"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9"/>
      <c r="S162" s="69"/>
    </row>
    <row r="163" spans="5:19" x14ac:dyDescent="0.25"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9"/>
      <c r="S163" s="69"/>
    </row>
    <row r="164" spans="5:19" x14ac:dyDescent="0.25"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9"/>
      <c r="S164" s="69"/>
    </row>
    <row r="165" spans="5:19" x14ac:dyDescent="0.25"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9"/>
      <c r="S165" s="69"/>
    </row>
    <row r="166" spans="5:19" x14ac:dyDescent="0.25"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9"/>
      <c r="S166" s="69"/>
    </row>
    <row r="167" spans="5:19" x14ac:dyDescent="0.25"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9"/>
      <c r="S167" s="69"/>
    </row>
    <row r="168" spans="5:19" x14ac:dyDescent="0.25"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9"/>
      <c r="S168" s="69"/>
    </row>
    <row r="169" spans="5:19" x14ac:dyDescent="0.25"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9"/>
      <c r="S169" s="69"/>
    </row>
    <row r="170" spans="5:19" x14ac:dyDescent="0.25"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9"/>
      <c r="S170" s="69"/>
    </row>
    <row r="171" spans="5:19" x14ac:dyDescent="0.25"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9"/>
      <c r="S171" s="69"/>
    </row>
    <row r="172" spans="5:19" x14ac:dyDescent="0.25"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9"/>
      <c r="S172" s="69"/>
    </row>
    <row r="173" spans="5:19" x14ac:dyDescent="0.25"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9"/>
      <c r="S173" s="69"/>
    </row>
    <row r="174" spans="5:19" x14ac:dyDescent="0.25"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9"/>
      <c r="S174" s="69"/>
    </row>
    <row r="175" spans="5:19" x14ac:dyDescent="0.25"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9"/>
      <c r="S175" s="69"/>
    </row>
    <row r="176" spans="5:19" x14ac:dyDescent="0.25"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9"/>
      <c r="S176" s="69"/>
    </row>
    <row r="177" spans="5:19" x14ac:dyDescent="0.25"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9"/>
      <c r="S177" s="69"/>
    </row>
    <row r="178" spans="5:19" x14ac:dyDescent="0.25"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</row>
    <row r="179" spans="5:19" x14ac:dyDescent="0.25"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5:19" x14ac:dyDescent="0.25"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5:19" x14ac:dyDescent="0.25"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</sheetData>
  <mergeCells count="18">
    <mergeCell ref="F148:G148"/>
    <mergeCell ref="I148:K148"/>
    <mergeCell ref="D8:E8"/>
    <mergeCell ref="D11:D12"/>
    <mergeCell ref="E11:E12"/>
    <mergeCell ref="F11:F12"/>
    <mergeCell ref="G11:G12"/>
    <mergeCell ref="H11:K11"/>
    <mergeCell ref="D14:K14"/>
    <mergeCell ref="D51:K51"/>
    <mergeCell ref="D88:K88"/>
    <mergeCell ref="D92:K92"/>
    <mergeCell ref="D125:K125"/>
    <mergeCell ref="F149:G149"/>
    <mergeCell ref="I149:K149"/>
    <mergeCell ref="M149:N149"/>
    <mergeCell ref="F151:H151"/>
    <mergeCell ref="F152:H152"/>
  </mergeCells>
  <dataValidations count="2">
    <dataValidation allowBlank="1" showInputMessage="1" promptTitle="Ввод" prompt="Для выбора организации необходимо два раза нажать левую клавишу мыши!" sqref="E25 E62"/>
    <dataValidation type="decimal" allowBlank="1" showErrorMessage="1" errorTitle="Ошибка" error="Допускается ввод только действительных чисел!" sqref="G27:K40 G89:K91 G93:K124 G52:K55 G23:K25 G79:K87 G20:K21 G64:K77 G42:K50 G15:K18 G126:K146 G57:K58 G60:K6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Y181"/>
  <sheetViews>
    <sheetView view="pageBreakPreview" topLeftCell="C7" zoomScaleNormal="100" zoomScaleSheetLayoutView="100" workbookViewId="0">
      <selection activeCell="K8" sqref="K8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idden="1" x14ac:dyDescent="0.25">
      <c r="S1" s="2"/>
      <c r="T1" s="2"/>
      <c r="U1" s="2"/>
      <c r="V1" s="2"/>
      <c r="Y1" s="2"/>
      <c r="AN1" s="2"/>
      <c r="AO1" s="2"/>
      <c r="AP1" s="2"/>
      <c r="BC1" s="2"/>
      <c r="BF1" s="2"/>
      <c r="BI1" s="2"/>
      <c r="BJ1" s="2"/>
      <c r="BX1" s="2"/>
      <c r="BY1" s="2"/>
    </row>
    <row r="2" spans="1:77" hidden="1" x14ac:dyDescent="0.25"/>
    <row r="3" spans="1:77" hidden="1" x14ac:dyDescent="0.25"/>
    <row r="4" spans="1:77" hidden="1" x14ac:dyDescent="0.2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idden="1" x14ac:dyDescent="0.2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idden="1" x14ac:dyDescent="0.25">
      <c r="A6" s="5"/>
    </row>
    <row r="7" spans="1:77" ht="12" customHeight="1" x14ac:dyDescent="0.25">
      <c r="A7" s="5"/>
      <c r="D7" s="6"/>
      <c r="E7" s="6"/>
      <c r="F7" s="6"/>
      <c r="G7" s="6"/>
      <c r="H7" s="6"/>
      <c r="I7" s="6"/>
      <c r="J7" s="6"/>
      <c r="K7" s="7" t="s">
        <v>342</v>
      </c>
      <c r="Q7" s="8"/>
    </row>
    <row r="8" spans="1:77" ht="22.5" customHeight="1" x14ac:dyDescent="0.25">
      <c r="A8" s="5"/>
      <c r="D8" s="81" t="s">
        <v>11</v>
      </c>
      <c r="E8" s="8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77" x14ac:dyDescent="0.25">
      <c r="A9" s="5"/>
      <c r="D9" s="10" t="str">
        <f>IF(org="","Не определено",org)</f>
        <v>ЗАО "Коттон Вэй"</v>
      </c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77" ht="12" customHeight="1" x14ac:dyDescent="0.25">
      <c r="D10" s="11"/>
      <c r="E10" s="11"/>
      <c r="F10" s="6"/>
      <c r="G10" s="6"/>
      <c r="H10" s="6"/>
      <c r="I10" s="6"/>
      <c r="K10" s="12" t="s">
        <v>12</v>
      </c>
    </row>
    <row r="11" spans="1:77" ht="15" customHeight="1" x14ac:dyDescent="0.25">
      <c r="C11" s="6"/>
      <c r="D11" s="82" t="s">
        <v>13</v>
      </c>
      <c r="E11" s="84" t="s">
        <v>14</v>
      </c>
      <c r="F11" s="84" t="s">
        <v>15</v>
      </c>
      <c r="G11" s="84" t="s">
        <v>16</v>
      </c>
      <c r="H11" s="84" t="s">
        <v>17</v>
      </c>
      <c r="I11" s="84"/>
      <c r="J11" s="84"/>
      <c r="K11" s="86"/>
      <c r="L11" s="13"/>
    </row>
    <row r="12" spans="1:77" ht="15" customHeight="1" x14ac:dyDescent="0.25">
      <c r="C12" s="6"/>
      <c r="D12" s="83"/>
      <c r="E12" s="85"/>
      <c r="F12" s="85"/>
      <c r="G12" s="85"/>
      <c r="H12" s="77" t="s">
        <v>18</v>
      </c>
      <c r="I12" s="77" t="s">
        <v>19</v>
      </c>
      <c r="J12" s="77" t="s">
        <v>20</v>
      </c>
      <c r="K12" s="15" t="s">
        <v>21</v>
      </c>
      <c r="L12" s="13"/>
    </row>
    <row r="13" spans="1:77" ht="12" customHeight="1" x14ac:dyDescent="0.25">
      <c r="D13" s="16">
        <v>0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</row>
    <row r="14" spans="1:77" s="17" customFormat="1" ht="15" customHeight="1" x14ac:dyDescent="0.25">
      <c r="C14" s="18"/>
      <c r="D14" s="87" t="s">
        <v>22</v>
      </c>
      <c r="E14" s="88"/>
      <c r="F14" s="88"/>
      <c r="G14" s="88"/>
      <c r="H14" s="88"/>
      <c r="I14" s="88"/>
      <c r="J14" s="88"/>
      <c r="K14" s="89"/>
      <c r="L14" s="19"/>
    </row>
    <row r="15" spans="1:77" s="17" customFormat="1" ht="15" customHeight="1" x14ac:dyDescent="0.2">
      <c r="C15" s="18"/>
      <c r="D15" s="20" t="s">
        <v>23</v>
      </c>
      <c r="E15" s="21" t="s">
        <v>24</v>
      </c>
      <c r="F15" s="22">
        <v>10</v>
      </c>
      <c r="G15" s="23">
        <f>SUM(H15:K15)</f>
        <v>2323.7539999999999</v>
      </c>
      <c r="H15" s="23">
        <f>H16+H17+H20+H23</f>
        <v>1766.2809999999999</v>
      </c>
      <c r="I15" s="23">
        <f>I16+I17+I20+I23</f>
        <v>0</v>
      </c>
      <c r="J15" s="23">
        <f>J16+J17+J20+J23</f>
        <v>557.47299999999996</v>
      </c>
      <c r="K15" s="23">
        <f>K16+K17+K20+K23</f>
        <v>0</v>
      </c>
      <c r="L15" s="19"/>
      <c r="M15" s="24"/>
      <c r="P15" s="25">
        <v>10</v>
      </c>
    </row>
    <row r="16" spans="1:77" s="17" customFormat="1" ht="15" customHeight="1" x14ac:dyDescent="0.2">
      <c r="C16" s="18"/>
      <c r="D16" s="20" t="s">
        <v>25</v>
      </c>
      <c r="E16" s="26" t="s">
        <v>26</v>
      </c>
      <c r="F16" s="22">
        <v>20</v>
      </c>
      <c r="G16" s="23">
        <f t="shared" ref="G16:G132" si="0">SUM(H16:K16)</f>
        <v>0</v>
      </c>
      <c r="H16" s="27"/>
      <c r="I16" s="27"/>
      <c r="J16" s="27"/>
      <c r="K16" s="27"/>
      <c r="L16" s="19"/>
      <c r="M16" s="24"/>
      <c r="P16" s="25">
        <v>20</v>
      </c>
    </row>
    <row r="17" spans="3:16" s="17" customFormat="1" ht="12.75" x14ac:dyDescent="0.2">
      <c r="C17" s="18"/>
      <c r="D17" s="20" t="s">
        <v>27</v>
      </c>
      <c r="E17" s="26" t="s">
        <v>28</v>
      </c>
      <c r="F17" s="22">
        <v>30</v>
      </c>
      <c r="G17" s="23">
        <f t="shared" si="0"/>
        <v>0</v>
      </c>
      <c r="H17" s="23">
        <f>SUM(H18:H19)</f>
        <v>0</v>
      </c>
      <c r="I17" s="23">
        <f>SUM(I18:I19)</f>
        <v>0</v>
      </c>
      <c r="J17" s="23">
        <f>SUM(J18:J19)</f>
        <v>0</v>
      </c>
      <c r="K17" s="23">
        <f>SUM(K18:K19)</f>
        <v>0</v>
      </c>
      <c r="L17" s="19"/>
      <c r="M17" s="24"/>
      <c r="P17" s="25">
        <v>30</v>
      </c>
    </row>
    <row r="18" spans="3:16" s="17" customFormat="1" ht="12.75" x14ac:dyDescent="0.2">
      <c r="C18" s="18"/>
      <c r="D18" s="28" t="s">
        <v>29</v>
      </c>
      <c r="E18" s="29"/>
      <c r="F18" s="30" t="s">
        <v>30</v>
      </c>
      <c r="G18" s="31"/>
      <c r="H18" s="31"/>
      <c r="I18" s="31"/>
      <c r="J18" s="31"/>
      <c r="K18" s="31"/>
      <c r="L18" s="19"/>
      <c r="M18" s="24"/>
      <c r="P18" s="25"/>
    </row>
    <row r="19" spans="3:16" s="17" customFormat="1" ht="12.75" x14ac:dyDescent="0.2">
      <c r="C19" s="18"/>
      <c r="D19" s="32"/>
      <c r="E19" s="33" t="s">
        <v>31</v>
      </c>
      <c r="F19" s="34"/>
      <c r="G19" s="34"/>
      <c r="H19" s="34"/>
      <c r="I19" s="34"/>
      <c r="J19" s="34"/>
      <c r="K19" s="35"/>
      <c r="L19" s="19"/>
      <c r="M19" s="24"/>
      <c r="P19" s="36"/>
    </row>
    <row r="20" spans="3:16" s="17" customFormat="1" ht="12.75" x14ac:dyDescent="0.2">
      <c r="C20" s="18"/>
      <c r="D20" s="20" t="s">
        <v>32</v>
      </c>
      <c r="E20" s="26" t="s">
        <v>33</v>
      </c>
      <c r="F20" s="22" t="s">
        <v>34</v>
      </c>
      <c r="G20" s="23">
        <f t="shared" si="0"/>
        <v>0</v>
      </c>
      <c r="H20" s="23">
        <f>SUM(H21:H22)</f>
        <v>0</v>
      </c>
      <c r="I20" s="23">
        <f>SUM(I21:I22)</f>
        <v>0</v>
      </c>
      <c r="J20" s="23">
        <f>SUM(J21:J22)</f>
        <v>0</v>
      </c>
      <c r="K20" s="23">
        <f>SUM(K21:K22)</f>
        <v>0</v>
      </c>
      <c r="L20" s="19"/>
      <c r="M20" s="24"/>
      <c r="P20" s="36"/>
    </row>
    <row r="21" spans="3:16" s="17" customFormat="1" ht="12.75" x14ac:dyDescent="0.2">
      <c r="C21" s="18"/>
      <c r="D21" s="28" t="s">
        <v>35</v>
      </c>
      <c r="E21" s="29"/>
      <c r="F21" s="30" t="s">
        <v>34</v>
      </c>
      <c r="G21" s="31"/>
      <c r="H21" s="31"/>
      <c r="I21" s="31"/>
      <c r="J21" s="31"/>
      <c r="K21" s="31"/>
      <c r="L21" s="19"/>
      <c r="M21" s="24"/>
      <c r="P21" s="25"/>
    </row>
    <row r="22" spans="3:16" s="17" customFormat="1" ht="12.75" x14ac:dyDescent="0.2">
      <c r="C22" s="18"/>
      <c r="D22" s="32"/>
      <c r="E22" s="33" t="s">
        <v>31</v>
      </c>
      <c r="F22" s="34"/>
      <c r="G22" s="34"/>
      <c r="H22" s="34"/>
      <c r="I22" s="34"/>
      <c r="J22" s="34"/>
      <c r="K22" s="35"/>
      <c r="L22" s="19"/>
      <c r="M22" s="24"/>
      <c r="P22" s="36"/>
    </row>
    <row r="23" spans="3:16" s="17" customFormat="1" ht="12.75" x14ac:dyDescent="0.2">
      <c r="C23" s="18"/>
      <c r="D23" s="20" t="s">
        <v>36</v>
      </c>
      <c r="E23" s="26" t="s">
        <v>37</v>
      </c>
      <c r="F23" s="22" t="s">
        <v>38</v>
      </c>
      <c r="G23" s="23">
        <f t="shared" si="0"/>
        <v>2323.7539999999999</v>
      </c>
      <c r="H23" s="23">
        <f>SUM(H24:H26)</f>
        <v>1766.2809999999999</v>
      </c>
      <c r="I23" s="23">
        <f>SUM(I24:I26)</f>
        <v>0</v>
      </c>
      <c r="J23" s="23">
        <f>SUM(J24:J26)</f>
        <v>557.47299999999996</v>
      </c>
      <c r="K23" s="23">
        <f>SUM(K24:K26)</f>
        <v>0</v>
      </c>
      <c r="L23" s="19"/>
      <c r="M23" s="24"/>
      <c r="P23" s="25">
        <v>40</v>
      </c>
    </row>
    <row r="24" spans="3:16" s="17" customFormat="1" ht="12.75" x14ac:dyDescent="0.2">
      <c r="C24" s="18"/>
      <c r="D24" s="28" t="s">
        <v>39</v>
      </c>
      <c r="E24" s="29"/>
      <c r="F24" s="30" t="s">
        <v>38</v>
      </c>
      <c r="G24" s="31"/>
      <c r="H24" s="31"/>
      <c r="I24" s="31"/>
      <c r="J24" s="31"/>
      <c r="K24" s="31"/>
      <c r="L24" s="19"/>
      <c r="M24" s="24"/>
      <c r="P24" s="25"/>
    </row>
    <row r="25" spans="3:16" s="17" customFormat="1" ht="15" x14ac:dyDescent="0.25">
      <c r="C25" s="37" t="s">
        <v>40</v>
      </c>
      <c r="D25" s="38" t="s">
        <v>41</v>
      </c>
      <c r="E25" s="39" t="s">
        <v>42</v>
      </c>
      <c r="F25" s="40">
        <v>431</v>
      </c>
      <c r="G25" s="41">
        <f>SUM(H25:K25)</f>
        <v>2323.7539999999999</v>
      </c>
      <c r="H25" s="42">
        <v>1766.2809999999999</v>
      </c>
      <c r="I25" s="42">
        <v>0</v>
      </c>
      <c r="J25" s="42">
        <v>557.47299999999996</v>
      </c>
      <c r="K25" s="42">
        <v>0</v>
      </c>
      <c r="L25" s="19"/>
      <c r="M25" s="43" t="s">
        <v>43</v>
      </c>
      <c r="N25" s="44" t="s">
        <v>44</v>
      </c>
      <c r="O25" s="44" t="s">
        <v>45</v>
      </c>
    </row>
    <row r="26" spans="3:16" s="17" customFormat="1" ht="12.75" x14ac:dyDescent="0.2">
      <c r="C26" s="18"/>
      <c r="D26" s="32"/>
      <c r="E26" s="33" t="s">
        <v>31</v>
      </c>
      <c r="F26" s="34"/>
      <c r="G26" s="34"/>
      <c r="H26" s="34"/>
      <c r="I26" s="34"/>
      <c r="J26" s="34"/>
      <c r="K26" s="35"/>
      <c r="L26" s="19"/>
      <c r="M26" s="24"/>
      <c r="P26" s="25"/>
    </row>
    <row r="27" spans="3:16" s="17" customFormat="1" ht="12.75" x14ac:dyDescent="0.2">
      <c r="C27" s="18"/>
      <c r="D27" s="20" t="s">
        <v>46</v>
      </c>
      <c r="E27" s="21" t="s">
        <v>47</v>
      </c>
      <c r="F27" s="22" t="s">
        <v>48</v>
      </c>
      <c r="G27" s="23">
        <f t="shared" si="0"/>
        <v>3827.9649999999997</v>
      </c>
      <c r="H27" s="23">
        <f>H29+H30+H31</f>
        <v>0</v>
      </c>
      <c r="I27" s="23">
        <f>I28+I30+I31</f>
        <v>0</v>
      </c>
      <c r="J27" s="23">
        <f>J28+J29+J31</f>
        <v>1766.2809999999999</v>
      </c>
      <c r="K27" s="23">
        <f>K28+K29+K30</f>
        <v>2061.6839999999997</v>
      </c>
      <c r="L27" s="19"/>
      <c r="M27" s="24"/>
      <c r="P27" s="25">
        <v>50</v>
      </c>
    </row>
    <row r="28" spans="3:16" s="17" customFormat="1" ht="12.75" x14ac:dyDescent="0.2">
      <c r="C28" s="18"/>
      <c r="D28" s="20" t="s">
        <v>49</v>
      </c>
      <c r="E28" s="26" t="s">
        <v>18</v>
      </c>
      <c r="F28" s="22" t="s">
        <v>50</v>
      </c>
      <c r="G28" s="23">
        <f t="shared" si="0"/>
        <v>1766.2809999999999</v>
      </c>
      <c r="H28" s="45"/>
      <c r="I28" s="27"/>
      <c r="J28" s="27">
        <f>H25</f>
        <v>1766.2809999999999</v>
      </c>
      <c r="K28" s="27"/>
      <c r="L28" s="19"/>
      <c r="M28" s="24"/>
      <c r="P28" s="25">
        <v>60</v>
      </c>
    </row>
    <row r="29" spans="3:16" s="17" customFormat="1" ht="12.75" x14ac:dyDescent="0.2">
      <c r="C29" s="18"/>
      <c r="D29" s="20" t="s">
        <v>51</v>
      </c>
      <c r="E29" s="26" t="s">
        <v>19</v>
      </c>
      <c r="F29" s="22" t="s">
        <v>52</v>
      </c>
      <c r="G29" s="23">
        <f t="shared" si="0"/>
        <v>0</v>
      </c>
      <c r="H29" s="27"/>
      <c r="I29" s="45"/>
      <c r="J29" s="27"/>
      <c r="K29" s="27"/>
      <c r="L29" s="19"/>
      <c r="M29" s="24"/>
      <c r="P29" s="25">
        <v>70</v>
      </c>
    </row>
    <row r="30" spans="3:16" s="17" customFormat="1" ht="12.75" x14ac:dyDescent="0.2">
      <c r="C30" s="18"/>
      <c r="D30" s="20" t="s">
        <v>53</v>
      </c>
      <c r="E30" s="26" t="s">
        <v>20</v>
      </c>
      <c r="F30" s="22" t="s">
        <v>54</v>
      </c>
      <c r="G30" s="23">
        <f t="shared" si="0"/>
        <v>2061.6839999999997</v>
      </c>
      <c r="H30" s="27"/>
      <c r="I30" s="27"/>
      <c r="J30" s="45"/>
      <c r="K30" s="27">
        <f>H25+J25-J36-J46</f>
        <v>2061.6839999999997</v>
      </c>
      <c r="L30" s="19"/>
      <c r="M30" s="24"/>
      <c r="P30" s="25">
        <v>80</v>
      </c>
    </row>
    <row r="31" spans="3:16" s="17" customFormat="1" ht="12.75" x14ac:dyDescent="0.2">
      <c r="C31" s="18"/>
      <c r="D31" s="20" t="s">
        <v>55</v>
      </c>
      <c r="E31" s="26" t="s">
        <v>56</v>
      </c>
      <c r="F31" s="22" t="s">
        <v>57</v>
      </c>
      <c r="G31" s="23">
        <f t="shared" si="0"/>
        <v>0</v>
      </c>
      <c r="H31" s="27"/>
      <c r="I31" s="27"/>
      <c r="J31" s="27"/>
      <c r="K31" s="45"/>
      <c r="L31" s="19"/>
      <c r="M31" s="24"/>
      <c r="P31" s="25">
        <v>90</v>
      </c>
    </row>
    <row r="32" spans="3:16" s="17" customFormat="1" ht="12.75" x14ac:dyDescent="0.2">
      <c r="C32" s="18"/>
      <c r="D32" s="20" t="s">
        <v>58</v>
      </c>
      <c r="E32" s="46" t="s">
        <v>59</v>
      </c>
      <c r="F32" s="22" t="s">
        <v>60</v>
      </c>
      <c r="G32" s="23">
        <f t="shared" si="0"/>
        <v>0</v>
      </c>
      <c r="H32" s="27"/>
      <c r="I32" s="27"/>
      <c r="J32" s="27"/>
      <c r="K32" s="27"/>
      <c r="L32" s="19"/>
      <c r="M32" s="24"/>
      <c r="P32" s="25"/>
    </row>
    <row r="33" spans="3:16" s="17" customFormat="1" ht="12.75" x14ac:dyDescent="0.2">
      <c r="C33" s="18"/>
      <c r="D33" s="20" t="s">
        <v>61</v>
      </c>
      <c r="E33" s="21" t="s">
        <v>62</v>
      </c>
      <c r="F33" s="47" t="s">
        <v>63</v>
      </c>
      <c r="G33" s="23">
        <f t="shared" si="0"/>
        <v>2381.4540000000002</v>
      </c>
      <c r="H33" s="23">
        <f>H34+H36+H39+H42</f>
        <v>0</v>
      </c>
      <c r="I33" s="23">
        <f>I34+I36+I39+I42</f>
        <v>0</v>
      </c>
      <c r="J33" s="23">
        <f>J34+J36+J39+J42</f>
        <v>262.07</v>
      </c>
      <c r="K33" s="23">
        <f>K34+K36+K39+K42</f>
        <v>2119.384</v>
      </c>
      <c r="L33" s="19"/>
      <c r="M33" s="24"/>
      <c r="P33" s="25">
        <v>100</v>
      </c>
    </row>
    <row r="34" spans="3:16" s="17" customFormat="1" ht="22.5" x14ac:dyDescent="0.2">
      <c r="C34" s="18"/>
      <c r="D34" s="20" t="s">
        <v>64</v>
      </c>
      <c r="E34" s="26" t="s">
        <v>65</v>
      </c>
      <c r="F34" s="22" t="s">
        <v>66</v>
      </c>
      <c r="G34" s="23">
        <f t="shared" si="0"/>
        <v>0</v>
      </c>
      <c r="H34" s="27"/>
      <c r="I34" s="27"/>
      <c r="J34" s="27"/>
      <c r="K34" s="27"/>
      <c r="L34" s="19"/>
      <c r="M34" s="24"/>
      <c r="P34" s="25"/>
    </row>
    <row r="35" spans="3:16" s="17" customFormat="1" ht="12.75" x14ac:dyDescent="0.2">
      <c r="C35" s="18"/>
      <c r="D35" s="20" t="s">
        <v>67</v>
      </c>
      <c r="E35" s="48" t="s">
        <v>68</v>
      </c>
      <c r="F35" s="22" t="s">
        <v>69</v>
      </c>
      <c r="G35" s="23">
        <f t="shared" si="0"/>
        <v>0</v>
      </c>
      <c r="H35" s="27"/>
      <c r="I35" s="27"/>
      <c r="J35" s="27"/>
      <c r="K35" s="27"/>
      <c r="L35" s="19"/>
      <c r="M35" s="24"/>
      <c r="P35" s="25"/>
    </row>
    <row r="36" spans="3:16" s="17" customFormat="1" ht="12.75" x14ac:dyDescent="0.2">
      <c r="C36" s="18"/>
      <c r="D36" s="20" t="s">
        <v>70</v>
      </c>
      <c r="E36" s="26" t="s">
        <v>71</v>
      </c>
      <c r="F36" s="22" t="s">
        <v>72</v>
      </c>
      <c r="G36" s="23">
        <f t="shared" si="0"/>
        <v>2381.4540000000002</v>
      </c>
      <c r="H36" s="27">
        <v>0</v>
      </c>
      <c r="I36" s="27">
        <v>0</v>
      </c>
      <c r="J36" s="27">
        <v>262.07</v>
      </c>
      <c r="K36" s="27">
        <v>2119.384</v>
      </c>
      <c r="L36" s="19"/>
      <c r="M36" s="24"/>
      <c r="P36" s="25"/>
    </row>
    <row r="37" spans="3:16" s="17" customFormat="1" ht="12.75" x14ac:dyDescent="0.2">
      <c r="C37" s="18"/>
      <c r="D37" s="20" t="s">
        <v>73</v>
      </c>
      <c r="E37" s="48" t="s">
        <v>74</v>
      </c>
      <c r="F37" s="22" t="s">
        <v>75</v>
      </c>
      <c r="G37" s="23">
        <f t="shared" si="0"/>
        <v>0</v>
      </c>
      <c r="H37" s="27"/>
      <c r="I37" s="27"/>
      <c r="J37" s="27"/>
      <c r="K37" s="27"/>
      <c r="L37" s="19"/>
      <c r="M37" s="24"/>
      <c r="P37" s="25"/>
    </row>
    <row r="38" spans="3:16" s="17" customFormat="1" ht="12.75" x14ac:dyDescent="0.2">
      <c r="C38" s="18"/>
      <c r="D38" s="20" t="s">
        <v>76</v>
      </c>
      <c r="E38" s="49" t="s">
        <v>68</v>
      </c>
      <c r="F38" s="22" t="s">
        <v>77</v>
      </c>
      <c r="G38" s="23">
        <f t="shared" si="0"/>
        <v>0</v>
      </c>
      <c r="H38" s="27"/>
      <c r="I38" s="27"/>
      <c r="J38" s="27"/>
      <c r="K38" s="27"/>
      <c r="L38" s="19"/>
      <c r="M38" s="24"/>
      <c r="P38" s="25"/>
    </row>
    <row r="39" spans="3:16" s="17" customFormat="1" ht="12.75" x14ac:dyDescent="0.2">
      <c r="C39" s="18"/>
      <c r="D39" s="20" t="s">
        <v>78</v>
      </c>
      <c r="E39" s="26" t="s">
        <v>79</v>
      </c>
      <c r="F39" s="22" t="s">
        <v>80</v>
      </c>
      <c r="G39" s="23">
        <f t="shared" si="0"/>
        <v>0</v>
      </c>
      <c r="H39" s="23">
        <f>SUM(H40:H41)</f>
        <v>0</v>
      </c>
      <c r="I39" s="23">
        <f>SUM(I40:I41)</f>
        <v>0</v>
      </c>
      <c r="J39" s="23">
        <f>SUM(J40:J41)</f>
        <v>0</v>
      </c>
      <c r="K39" s="23">
        <f>SUM(K40:K41)</f>
        <v>0</v>
      </c>
      <c r="L39" s="19"/>
      <c r="M39" s="24"/>
      <c r="P39" s="25"/>
    </row>
    <row r="40" spans="3:16" s="17" customFormat="1" ht="12.75" x14ac:dyDescent="0.2">
      <c r="C40" s="18"/>
      <c r="D40" s="28" t="s">
        <v>81</v>
      </c>
      <c r="E40" s="29"/>
      <c r="F40" s="30" t="s">
        <v>80</v>
      </c>
      <c r="G40" s="31"/>
      <c r="H40" s="31"/>
      <c r="I40" s="31"/>
      <c r="J40" s="31"/>
      <c r="K40" s="31"/>
      <c r="L40" s="19"/>
      <c r="M40" s="24"/>
      <c r="P40" s="25"/>
    </row>
    <row r="41" spans="3:16" s="17" customFormat="1" ht="12.75" x14ac:dyDescent="0.2">
      <c r="C41" s="18"/>
      <c r="D41" s="50"/>
      <c r="E41" s="33" t="s">
        <v>31</v>
      </c>
      <c r="F41" s="34"/>
      <c r="G41" s="34"/>
      <c r="H41" s="34"/>
      <c r="I41" s="34"/>
      <c r="J41" s="34"/>
      <c r="K41" s="35"/>
      <c r="L41" s="19"/>
      <c r="M41" s="24"/>
      <c r="P41" s="25"/>
    </row>
    <row r="42" spans="3:16" s="17" customFormat="1" ht="12.75" x14ac:dyDescent="0.2">
      <c r="C42" s="18"/>
      <c r="D42" s="20" t="s">
        <v>82</v>
      </c>
      <c r="E42" s="51" t="s">
        <v>83</v>
      </c>
      <c r="F42" s="22" t="s">
        <v>84</v>
      </c>
      <c r="G42" s="23">
        <f t="shared" si="0"/>
        <v>0</v>
      </c>
      <c r="H42" s="27"/>
      <c r="I42" s="27"/>
      <c r="J42" s="27"/>
      <c r="K42" s="27"/>
      <c r="L42" s="19"/>
      <c r="M42" s="24"/>
      <c r="P42" s="25">
        <v>120</v>
      </c>
    </row>
    <row r="43" spans="3:16" s="17" customFormat="1" ht="12.75" x14ac:dyDescent="0.2">
      <c r="C43" s="18"/>
      <c r="D43" s="20" t="s">
        <v>85</v>
      </c>
      <c r="E43" s="21" t="s">
        <v>86</v>
      </c>
      <c r="F43" s="22" t="s">
        <v>87</v>
      </c>
      <c r="G43" s="23">
        <f t="shared" si="0"/>
        <v>3827.9649999999997</v>
      </c>
      <c r="H43" s="27">
        <f>J28</f>
        <v>1766.2809999999999</v>
      </c>
      <c r="I43" s="27"/>
      <c r="J43" s="27">
        <f>K30</f>
        <v>2061.6839999999997</v>
      </c>
      <c r="K43" s="27"/>
      <c r="L43" s="19"/>
      <c r="M43" s="24"/>
      <c r="P43" s="25">
        <v>150</v>
      </c>
    </row>
    <row r="44" spans="3:16" s="17" customFormat="1" ht="12.75" x14ac:dyDescent="0.2">
      <c r="C44" s="18"/>
      <c r="D44" s="20" t="s">
        <v>88</v>
      </c>
      <c r="E44" s="21" t="s">
        <v>89</v>
      </c>
      <c r="F44" s="22" t="s">
        <v>90</v>
      </c>
      <c r="G44" s="23">
        <f t="shared" si="0"/>
        <v>0</v>
      </c>
      <c r="H44" s="27"/>
      <c r="I44" s="27"/>
      <c r="J44" s="27"/>
      <c r="K44" s="27"/>
      <c r="L44" s="19"/>
      <c r="M44" s="24"/>
      <c r="P44" s="25">
        <v>160</v>
      </c>
    </row>
    <row r="45" spans="3:16" s="17" customFormat="1" ht="12.75" x14ac:dyDescent="0.2">
      <c r="C45" s="18"/>
      <c r="D45" s="20" t="s">
        <v>91</v>
      </c>
      <c r="E45" s="21" t="s">
        <v>92</v>
      </c>
      <c r="F45" s="22" t="s">
        <v>93</v>
      </c>
      <c r="G45" s="23">
        <f t="shared" si="0"/>
        <v>0</v>
      </c>
      <c r="H45" s="27"/>
      <c r="I45" s="27"/>
      <c r="J45" s="27"/>
      <c r="K45" s="27"/>
      <c r="L45" s="19"/>
      <c r="M45" s="24"/>
      <c r="P45" s="25">
        <v>180</v>
      </c>
    </row>
    <row r="46" spans="3:16" s="17" customFormat="1" ht="12.75" x14ac:dyDescent="0.2">
      <c r="C46" s="18"/>
      <c r="D46" s="20" t="s">
        <v>94</v>
      </c>
      <c r="E46" s="21" t="s">
        <v>95</v>
      </c>
      <c r="F46" s="22" t="s">
        <v>96</v>
      </c>
      <c r="G46" s="23">
        <f t="shared" si="0"/>
        <v>-57.7</v>
      </c>
      <c r="H46" s="27"/>
      <c r="I46" s="27"/>
      <c r="J46" s="27"/>
      <c r="K46" s="27">
        <v>-57.7</v>
      </c>
      <c r="L46" s="19"/>
      <c r="M46" s="24"/>
      <c r="P46" s="25">
        <v>190</v>
      </c>
    </row>
    <row r="47" spans="3:16" s="17" customFormat="1" ht="12.75" x14ac:dyDescent="0.2">
      <c r="C47" s="18"/>
      <c r="D47" s="20" t="s">
        <v>97</v>
      </c>
      <c r="E47" s="26" t="s">
        <v>98</v>
      </c>
      <c r="F47" s="22" t="s">
        <v>99</v>
      </c>
      <c r="G47" s="23">
        <f t="shared" si="0"/>
        <v>0</v>
      </c>
      <c r="H47" s="27"/>
      <c r="I47" s="27"/>
      <c r="J47" s="27">
        <v>0</v>
      </c>
      <c r="K47" s="27">
        <v>0</v>
      </c>
      <c r="L47" s="19"/>
      <c r="M47" s="24"/>
      <c r="P47" s="25">
        <v>200</v>
      </c>
    </row>
    <row r="48" spans="3:16" s="17" customFormat="1" ht="12.75" x14ac:dyDescent="0.2">
      <c r="C48" s="18"/>
      <c r="D48" s="20" t="s">
        <v>100</v>
      </c>
      <c r="E48" s="21" t="s">
        <v>101</v>
      </c>
      <c r="F48" s="22" t="s">
        <v>102</v>
      </c>
      <c r="G48" s="23">
        <f t="shared" si="0"/>
        <v>140.4</v>
      </c>
      <c r="H48" s="27"/>
      <c r="I48" s="27"/>
      <c r="J48" s="27"/>
      <c r="K48" s="27">
        <f>0.1404*1000</f>
        <v>140.4</v>
      </c>
      <c r="L48" s="19"/>
      <c r="M48" s="24"/>
      <c r="P48" s="36"/>
    </row>
    <row r="49" spans="3:16" s="17" customFormat="1" ht="22.5" x14ac:dyDescent="0.2">
      <c r="C49" s="18"/>
      <c r="D49" s="20" t="s">
        <v>103</v>
      </c>
      <c r="E49" s="46" t="s">
        <v>104</v>
      </c>
      <c r="F49" s="22" t="s">
        <v>105</v>
      </c>
      <c r="G49" s="23">
        <f t="shared" si="0"/>
        <v>-198.10000000000002</v>
      </c>
      <c r="H49" s="23">
        <f>H46-H48</f>
        <v>0</v>
      </c>
      <c r="I49" s="23">
        <f>I46-I48</f>
        <v>0</v>
      </c>
      <c r="J49" s="23">
        <f>J46-J48</f>
        <v>0</v>
      </c>
      <c r="K49" s="23">
        <f>K46-K48</f>
        <v>-198.10000000000002</v>
      </c>
      <c r="L49" s="19"/>
      <c r="M49" s="24"/>
      <c r="P49" s="36"/>
    </row>
    <row r="50" spans="3:16" s="17" customFormat="1" ht="12.75" x14ac:dyDescent="0.2">
      <c r="C50" s="18"/>
      <c r="D50" s="20" t="s">
        <v>106</v>
      </c>
      <c r="E50" s="21" t="s">
        <v>107</v>
      </c>
      <c r="F50" s="22" t="s">
        <v>108</v>
      </c>
      <c r="G50" s="23">
        <f t="shared" si="0"/>
        <v>0</v>
      </c>
      <c r="H50" s="23">
        <f>(H15+H27+H32)-(H33+H43+H44+H45+H46)</f>
        <v>0</v>
      </c>
      <c r="I50" s="23">
        <f>(I15+I27+I32)-(I33+I43+I44+I45+I46)</f>
        <v>0</v>
      </c>
      <c r="J50" s="23">
        <f>(J15+J27+J32)-(J33+J43+J44+J45+J46)</f>
        <v>0</v>
      </c>
      <c r="K50" s="23">
        <f>(K15+K27+K32)-(K33+K43+K44+K45+K46)</f>
        <v>0</v>
      </c>
      <c r="L50" s="19"/>
      <c r="M50" s="24"/>
      <c r="P50" s="25">
        <v>210</v>
      </c>
    </row>
    <row r="51" spans="3:16" s="17" customFormat="1" ht="12.75" x14ac:dyDescent="0.2">
      <c r="C51" s="18"/>
      <c r="D51" s="87" t="s">
        <v>109</v>
      </c>
      <c r="E51" s="88"/>
      <c r="F51" s="88"/>
      <c r="G51" s="88"/>
      <c r="H51" s="88"/>
      <c r="I51" s="88"/>
      <c r="J51" s="88"/>
      <c r="K51" s="89"/>
      <c r="L51" s="19"/>
      <c r="M51" s="24"/>
      <c r="P51" s="36"/>
    </row>
    <row r="52" spans="3:16" s="17" customFormat="1" ht="12.75" x14ac:dyDescent="0.2">
      <c r="C52" s="18"/>
      <c r="D52" s="20" t="s">
        <v>110</v>
      </c>
      <c r="E52" s="21" t="s">
        <v>24</v>
      </c>
      <c r="F52" s="22" t="s">
        <v>111</v>
      </c>
      <c r="G52" s="23">
        <f t="shared" si="0"/>
        <v>5.101</v>
      </c>
      <c r="H52" s="23">
        <f>H53+H54+H57+H60</f>
        <v>1.22424</v>
      </c>
      <c r="I52" s="23">
        <f>I53+I54+I57+I60</f>
        <v>0</v>
      </c>
      <c r="J52" s="23">
        <f>J53+J54+J57+J60</f>
        <v>3.87676</v>
      </c>
      <c r="K52" s="23">
        <f>K53+K54+K57+K60</f>
        <v>0</v>
      </c>
      <c r="L52" s="19"/>
      <c r="M52" s="24"/>
      <c r="P52" s="25">
        <v>300</v>
      </c>
    </row>
    <row r="53" spans="3:16" s="17" customFormat="1" ht="12.75" x14ac:dyDescent="0.2">
      <c r="C53" s="18"/>
      <c r="D53" s="20" t="s">
        <v>112</v>
      </c>
      <c r="E53" s="26" t="s">
        <v>26</v>
      </c>
      <c r="F53" s="22" t="s">
        <v>113</v>
      </c>
      <c r="G53" s="23">
        <f t="shared" si="0"/>
        <v>0</v>
      </c>
      <c r="H53" s="27"/>
      <c r="I53" s="27"/>
      <c r="J53" s="27"/>
      <c r="K53" s="27"/>
      <c r="L53" s="19"/>
      <c r="M53" s="24"/>
      <c r="P53" s="25">
        <v>310</v>
      </c>
    </row>
    <row r="54" spans="3:16" s="17" customFormat="1" ht="12.75" x14ac:dyDescent="0.2">
      <c r="C54" s="18"/>
      <c r="D54" s="20" t="s">
        <v>114</v>
      </c>
      <c r="E54" s="26" t="s">
        <v>28</v>
      </c>
      <c r="F54" s="22" t="s">
        <v>115</v>
      </c>
      <c r="G54" s="23">
        <f t="shared" si="0"/>
        <v>0</v>
      </c>
      <c r="H54" s="23">
        <f>SUM(H55:H56)</f>
        <v>0</v>
      </c>
      <c r="I54" s="23">
        <f>SUM(I55:I56)</f>
        <v>0</v>
      </c>
      <c r="J54" s="23">
        <f>SUM(J55:J56)</f>
        <v>0</v>
      </c>
      <c r="K54" s="23">
        <f>SUM(K55:K56)</f>
        <v>0</v>
      </c>
      <c r="L54" s="19"/>
      <c r="M54" s="24"/>
      <c r="P54" s="25">
        <v>320</v>
      </c>
    </row>
    <row r="55" spans="3:16" s="17" customFormat="1" ht="12.75" x14ac:dyDescent="0.2">
      <c r="C55" s="18"/>
      <c r="D55" s="28" t="s">
        <v>116</v>
      </c>
      <c r="E55" s="29"/>
      <c r="F55" s="30" t="s">
        <v>115</v>
      </c>
      <c r="G55" s="31"/>
      <c r="H55" s="31"/>
      <c r="I55" s="31"/>
      <c r="J55" s="31"/>
      <c r="K55" s="31"/>
      <c r="L55" s="19"/>
      <c r="M55" s="24"/>
      <c r="P55" s="25"/>
    </row>
    <row r="56" spans="3:16" s="17" customFormat="1" ht="12.75" x14ac:dyDescent="0.2">
      <c r="C56" s="18"/>
      <c r="D56" s="32"/>
      <c r="E56" s="33" t="s">
        <v>31</v>
      </c>
      <c r="F56" s="34"/>
      <c r="G56" s="34"/>
      <c r="H56" s="34"/>
      <c r="I56" s="34"/>
      <c r="J56" s="34"/>
      <c r="K56" s="35"/>
      <c r="L56" s="19"/>
      <c r="M56" s="24"/>
      <c r="P56" s="25"/>
    </row>
    <row r="57" spans="3:16" s="17" customFormat="1" ht="12.75" x14ac:dyDescent="0.2">
      <c r="C57" s="18"/>
      <c r="D57" s="20" t="s">
        <v>117</v>
      </c>
      <c r="E57" s="26" t="s">
        <v>33</v>
      </c>
      <c r="F57" s="22" t="s">
        <v>118</v>
      </c>
      <c r="G57" s="23">
        <f t="shared" si="0"/>
        <v>0</v>
      </c>
      <c r="H57" s="23">
        <f>SUM(H58:H59)</f>
        <v>0</v>
      </c>
      <c r="I57" s="23">
        <f>SUM(I58:I59)</f>
        <v>0</v>
      </c>
      <c r="J57" s="23">
        <f>SUM(J58:J59)</f>
        <v>0</v>
      </c>
      <c r="K57" s="23">
        <f>SUM(K58:K59)</f>
        <v>0</v>
      </c>
      <c r="L57" s="19"/>
      <c r="M57" s="24"/>
      <c r="P57" s="25"/>
    </row>
    <row r="58" spans="3:16" s="17" customFormat="1" ht="12.75" x14ac:dyDescent="0.2">
      <c r="C58" s="18"/>
      <c r="D58" s="28" t="s">
        <v>119</v>
      </c>
      <c r="E58" s="29"/>
      <c r="F58" s="30" t="s">
        <v>118</v>
      </c>
      <c r="G58" s="31"/>
      <c r="H58" s="31"/>
      <c r="I58" s="31"/>
      <c r="J58" s="31"/>
      <c r="K58" s="31"/>
      <c r="L58" s="19"/>
      <c r="M58" s="24"/>
      <c r="P58" s="25"/>
    </row>
    <row r="59" spans="3:16" s="17" customFormat="1" ht="12.75" x14ac:dyDescent="0.2">
      <c r="C59" s="18"/>
      <c r="D59" s="32"/>
      <c r="E59" s="33" t="s">
        <v>31</v>
      </c>
      <c r="F59" s="34"/>
      <c r="G59" s="34"/>
      <c r="H59" s="34"/>
      <c r="I59" s="34"/>
      <c r="J59" s="34"/>
      <c r="K59" s="35"/>
      <c r="L59" s="19"/>
      <c r="M59" s="24"/>
      <c r="P59" s="25"/>
    </row>
    <row r="60" spans="3:16" s="17" customFormat="1" ht="12.75" x14ac:dyDescent="0.2">
      <c r="C60" s="18"/>
      <c r="D60" s="20" t="s">
        <v>120</v>
      </c>
      <c r="E60" s="26" t="s">
        <v>37</v>
      </c>
      <c r="F60" s="22" t="s">
        <v>121</v>
      </c>
      <c r="G60" s="23">
        <f t="shared" si="0"/>
        <v>5.101</v>
      </c>
      <c r="H60" s="23">
        <f>SUM(H61:H63)</f>
        <v>1.22424</v>
      </c>
      <c r="I60" s="23">
        <f>SUM(I61:I63)</f>
        <v>0</v>
      </c>
      <c r="J60" s="23">
        <f>SUM(J61:J63)</f>
        <v>3.87676</v>
      </c>
      <c r="K60" s="23">
        <f>SUM(K61:K63)</f>
        <v>0</v>
      </c>
      <c r="L60" s="19"/>
      <c r="M60" s="24"/>
      <c r="P60" s="25">
        <v>330</v>
      </c>
    </row>
    <row r="61" spans="3:16" s="17" customFormat="1" ht="12.75" x14ac:dyDescent="0.2">
      <c r="C61" s="18"/>
      <c r="D61" s="28" t="s">
        <v>122</v>
      </c>
      <c r="E61" s="29"/>
      <c r="F61" s="30" t="s">
        <v>121</v>
      </c>
      <c r="G61" s="31"/>
      <c r="H61" s="31"/>
      <c r="I61" s="31"/>
      <c r="J61" s="31"/>
      <c r="K61" s="31"/>
      <c r="L61" s="19"/>
      <c r="M61" s="24"/>
      <c r="P61" s="25"/>
    </row>
    <row r="62" spans="3:16" s="17" customFormat="1" ht="15" x14ac:dyDescent="0.25">
      <c r="C62" s="37" t="s">
        <v>40</v>
      </c>
      <c r="D62" s="38" t="s">
        <v>123</v>
      </c>
      <c r="E62" s="39" t="s">
        <v>42</v>
      </c>
      <c r="F62" s="40">
        <v>1461</v>
      </c>
      <c r="G62" s="41">
        <f>SUM(H62:K62)</f>
        <v>5.101</v>
      </c>
      <c r="H62" s="52">
        <f>5.101*0.24</f>
        <v>1.22424</v>
      </c>
      <c r="I62" s="52">
        <v>0</v>
      </c>
      <c r="J62" s="52">
        <f>5.101-H62</f>
        <v>3.87676</v>
      </c>
      <c r="K62" s="53">
        <v>0</v>
      </c>
      <c r="L62" s="19"/>
      <c r="M62" s="43" t="s">
        <v>43</v>
      </c>
      <c r="N62" s="44" t="s">
        <v>44</v>
      </c>
      <c r="O62" s="44" t="s">
        <v>45</v>
      </c>
    </row>
    <row r="63" spans="3:16" s="17" customFormat="1" ht="12.75" x14ac:dyDescent="0.2">
      <c r="C63" s="18"/>
      <c r="D63" s="32"/>
      <c r="E63" s="33" t="s">
        <v>31</v>
      </c>
      <c r="F63" s="34"/>
      <c r="G63" s="34"/>
      <c r="H63" s="34"/>
      <c r="I63" s="34"/>
      <c r="J63" s="34"/>
      <c r="K63" s="35"/>
      <c r="L63" s="19"/>
      <c r="M63" s="24"/>
      <c r="P63" s="25"/>
    </row>
    <row r="64" spans="3:16" s="17" customFormat="1" ht="12.75" x14ac:dyDescent="0.2">
      <c r="C64" s="18"/>
      <c r="D64" s="20" t="s">
        <v>124</v>
      </c>
      <c r="E64" s="21" t="s">
        <v>47</v>
      </c>
      <c r="F64" s="22" t="s">
        <v>125</v>
      </c>
      <c r="G64" s="23">
        <f t="shared" si="0"/>
        <v>5.1564399999999999</v>
      </c>
      <c r="H64" s="23">
        <f>H66+H67+H68</f>
        <v>0</v>
      </c>
      <c r="I64" s="23">
        <f>I65+I67+I68</f>
        <v>0</v>
      </c>
      <c r="J64" s="23">
        <f>J65+J66+J68</f>
        <v>1.22424</v>
      </c>
      <c r="K64" s="23">
        <f>K65+K66+K67</f>
        <v>3.9321999999999999</v>
      </c>
      <c r="L64" s="19"/>
      <c r="M64" s="24"/>
      <c r="P64" s="25">
        <v>340</v>
      </c>
    </row>
    <row r="65" spans="3:16" s="17" customFormat="1" ht="12.75" x14ac:dyDescent="0.2">
      <c r="C65" s="18"/>
      <c r="D65" s="20" t="s">
        <v>126</v>
      </c>
      <c r="E65" s="26" t="s">
        <v>18</v>
      </c>
      <c r="F65" s="22" t="s">
        <v>127</v>
      </c>
      <c r="G65" s="23">
        <f t="shared" si="0"/>
        <v>1.22424</v>
      </c>
      <c r="H65" s="45"/>
      <c r="I65" s="27"/>
      <c r="J65" s="27">
        <f>H62</f>
        <v>1.22424</v>
      </c>
      <c r="K65" s="27"/>
      <c r="L65" s="19"/>
      <c r="M65" s="24"/>
      <c r="P65" s="25">
        <v>350</v>
      </c>
    </row>
    <row r="66" spans="3:16" s="17" customFormat="1" ht="12.75" x14ac:dyDescent="0.2">
      <c r="C66" s="18"/>
      <c r="D66" s="20" t="s">
        <v>128</v>
      </c>
      <c r="E66" s="26" t="s">
        <v>19</v>
      </c>
      <c r="F66" s="22" t="s">
        <v>129</v>
      </c>
      <c r="G66" s="23">
        <f t="shared" si="0"/>
        <v>0</v>
      </c>
      <c r="H66" s="27"/>
      <c r="I66" s="54"/>
      <c r="J66" s="27"/>
      <c r="K66" s="27"/>
      <c r="L66" s="19"/>
      <c r="M66" s="24"/>
      <c r="P66" s="25">
        <v>360</v>
      </c>
    </row>
    <row r="67" spans="3:16" s="17" customFormat="1" ht="12.75" x14ac:dyDescent="0.2">
      <c r="C67" s="18"/>
      <c r="D67" s="20" t="s">
        <v>130</v>
      </c>
      <c r="E67" s="26" t="s">
        <v>20</v>
      </c>
      <c r="F67" s="22" t="s">
        <v>131</v>
      </c>
      <c r="G67" s="23">
        <f t="shared" si="0"/>
        <v>3.9321999999999999</v>
      </c>
      <c r="H67" s="27"/>
      <c r="I67" s="27"/>
      <c r="J67" s="45"/>
      <c r="K67" s="27">
        <f>K73+K83</f>
        <v>3.9321999999999999</v>
      </c>
      <c r="L67" s="19"/>
      <c r="M67" s="24"/>
      <c r="P67" s="25">
        <v>370</v>
      </c>
    </row>
    <row r="68" spans="3:16" s="17" customFormat="1" ht="12.75" x14ac:dyDescent="0.2">
      <c r="C68" s="18"/>
      <c r="D68" s="20" t="s">
        <v>132</v>
      </c>
      <c r="E68" s="26" t="s">
        <v>56</v>
      </c>
      <c r="F68" s="22" t="s">
        <v>133</v>
      </c>
      <c r="G68" s="23">
        <f t="shared" si="0"/>
        <v>0</v>
      </c>
      <c r="H68" s="27"/>
      <c r="I68" s="27"/>
      <c r="J68" s="27"/>
      <c r="K68" s="45"/>
      <c r="L68" s="19"/>
      <c r="M68" s="24"/>
      <c r="P68" s="25">
        <v>380</v>
      </c>
    </row>
    <row r="69" spans="3:16" s="17" customFormat="1" ht="12.75" x14ac:dyDescent="0.2">
      <c r="C69" s="18"/>
      <c r="D69" s="20" t="s">
        <v>134</v>
      </c>
      <c r="E69" s="46" t="s">
        <v>59</v>
      </c>
      <c r="F69" s="22" t="s">
        <v>135</v>
      </c>
      <c r="G69" s="23">
        <f t="shared" si="0"/>
        <v>0</v>
      </c>
      <c r="H69" s="27"/>
      <c r="I69" s="27"/>
      <c r="J69" s="27"/>
      <c r="K69" s="27"/>
      <c r="L69" s="19"/>
      <c r="M69" s="24"/>
      <c r="P69" s="25"/>
    </row>
    <row r="70" spans="3:16" s="17" customFormat="1" ht="12.75" x14ac:dyDescent="0.2">
      <c r="C70" s="18"/>
      <c r="D70" s="20" t="s">
        <v>136</v>
      </c>
      <c r="E70" s="21" t="s">
        <v>62</v>
      </c>
      <c r="F70" s="47" t="s">
        <v>137</v>
      </c>
      <c r="G70" s="23">
        <f t="shared" si="0"/>
        <v>4.87</v>
      </c>
      <c r="H70" s="23">
        <f>H71+H73+H76+H79</f>
        <v>0</v>
      </c>
      <c r="I70" s="23">
        <f>I71+I73+I76+I79</f>
        <v>0</v>
      </c>
      <c r="J70" s="23">
        <f>J71+J73+J76+J79</f>
        <v>1.1688000000000001</v>
      </c>
      <c r="K70" s="23">
        <f>K71+K73+K76+K79</f>
        <v>3.7012</v>
      </c>
      <c r="L70" s="19"/>
      <c r="M70" s="24"/>
      <c r="P70" s="25">
        <v>390</v>
      </c>
    </row>
    <row r="71" spans="3:16" s="17" customFormat="1" ht="22.5" x14ac:dyDescent="0.2">
      <c r="C71" s="18"/>
      <c r="D71" s="20" t="s">
        <v>138</v>
      </c>
      <c r="E71" s="26" t="s">
        <v>65</v>
      </c>
      <c r="F71" s="22" t="s">
        <v>139</v>
      </c>
      <c r="G71" s="23">
        <f t="shared" si="0"/>
        <v>0</v>
      </c>
      <c r="H71" s="27"/>
      <c r="I71" s="27"/>
      <c r="J71" s="27"/>
      <c r="K71" s="27"/>
      <c r="L71" s="19"/>
      <c r="M71" s="24"/>
      <c r="P71" s="25"/>
    </row>
    <row r="72" spans="3:16" s="17" customFormat="1" ht="12.75" x14ac:dyDescent="0.2">
      <c r="C72" s="18"/>
      <c r="D72" s="20" t="s">
        <v>140</v>
      </c>
      <c r="E72" s="48" t="s">
        <v>68</v>
      </c>
      <c r="F72" s="22" t="s">
        <v>141</v>
      </c>
      <c r="G72" s="23">
        <f t="shared" si="0"/>
        <v>0</v>
      </c>
      <c r="H72" s="27"/>
      <c r="I72" s="27"/>
      <c r="J72" s="27"/>
      <c r="K72" s="27"/>
      <c r="L72" s="19"/>
      <c r="M72" s="24"/>
      <c r="P72" s="25"/>
    </row>
    <row r="73" spans="3:16" s="17" customFormat="1" ht="12.75" x14ac:dyDescent="0.2">
      <c r="C73" s="18"/>
      <c r="D73" s="20" t="s">
        <v>142</v>
      </c>
      <c r="E73" s="26" t="s">
        <v>71</v>
      </c>
      <c r="F73" s="22" t="s">
        <v>143</v>
      </c>
      <c r="G73" s="23">
        <f t="shared" si="0"/>
        <v>4.87</v>
      </c>
      <c r="H73" s="27">
        <v>0</v>
      </c>
      <c r="I73" s="27">
        <v>0</v>
      </c>
      <c r="J73" s="27">
        <f>4.87*0.24</f>
        <v>1.1688000000000001</v>
      </c>
      <c r="K73" s="27">
        <f>4.87-J73</f>
        <v>3.7012</v>
      </c>
      <c r="L73" s="19"/>
      <c r="M73" s="24"/>
      <c r="P73" s="25"/>
    </row>
    <row r="74" spans="3:16" s="17" customFormat="1" ht="12.75" x14ac:dyDescent="0.2">
      <c r="C74" s="18"/>
      <c r="D74" s="20" t="s">
        <v>144</v>
      </c>
      <c r="E74" s="48" t="s">
        <v>74</v>
      </c>
      <c r="F74" s="22" t="s">
        <v>145</v>
      </c>
      <c r="G74" s="23">
        <f t="shared" si="0"/>
        <v>0</v>
      </c>
      <c r="H74" s="27"/>
      <c r="I74" s="27"/>
      <c r="J74" s="27"/>
      <c r="K74" s="27"/>
      <c r="L74" s="19"/>
      <c r="M74" s="24"/>
      <c r="P74" s="25"/>
    </row>
    <row r="75" spans="3:16" s="17" customFormat="1" ht="12.75" x14ac:dyDescent="0.2">
      <c r="C75" s="18"/>
      <c r="D75" s="20" t="s">
        <v>146</v>
      </c>
      <c r="E75" s="49" t="s">
        <v>68</v>
      </c>
      <c r="F75" s="22" t="s">
        <v>147</v>
      </c>
      <c r="G75" s="23">
        <f t="shared" si="0"/>
        <v>0</v>
      </c>
      <c r="H75" s="27"/>
      <c r="I75" s="27"/>
      <c r="J75" s="27"/>
      <c r="K75" s="27"/>
      <c r="L75" s="19"/>
      <c r="M75" s="24"/>
      <c r="P75" s="25"/>
    </row>
    <row r="76" spans="3:16" s="17" customFormat="1" ht="12.75" x14ac:dyDescent="0.2">
      <c r="C76" s="18"/>
      <c r="D76" s="20" t="s">
        <v>148</v>
      </c>
      <c r="E76" s="26" t="s">
        <v>79</v>
      </c>
      <c r="F76" s="22" t="s">
        <v>149</v>
      </c>
      <c r="G76" s="23">
        <f t="shared" si="0"/>
        <v>0</v>
      </c>
      <c r="H76" s="23">
        <f>SUM(H77:H78)</f>
        <v>0</v>
      </c>
      <c r="I76" s="23">
        <f>SUM(I77:I78)</f>
        <v>0</v>
      </c>
      <c r="J76" s="23">
        <f>SUM(J77:J78)</f>
        <v>0</v>
      </c>
      <c r="K76" s="23">
        <f>SUM(K77:K78)</f>
        <v>0</v>
      </c>
      <c r="L76" s="19"/>
      <c r="M76" s="24"/>
      <c r="P76" s="25"/>
    </row>
    <row r="77" spans="3:16" s="17" customFormat="1" ht="12.75" x14ac:dyDescent="0.2">
      <c r="C77" s="18"/>
      <c r="D77" s="28" t="s">
        <v>150</v>
      </c>
      <c r="E77" s="29"/>
      <c r="F77" s="30" t="s">
        <v>149</v>
      </c>
      <c r="G77" s="31"/>
      <c r="H77" s="31"/>
      <c r="I77" s="31"/>
      <c r="J77" s="31"/>
      <c r="K77" s="31"/>
      <c r="L77" s="19"/>
      <c r="M77" s="24"/>
      <c r="P77" s="25"/>
    </row>
    <row r="78" spans="3:16" s="17" customFormat="1" ht="12.75" x14ac:dyDescent="0.2">
      <c r="C78" s="18"/>
      <c r="D78" s="32"/>
      <c r="E78" s="33" t="s">
        <v>31</v>
      </c>
      <c r="F78" s="34"/>
      <c r="G78" s="34"/>
      <c r="H78" s="34"/>
      <c r="I78" s="34"/>
      <c r="J78" s="34"/>
      <c r="K78" s="35"/>
      <c r="L78" s="19"/>
      <c r="M78" s="24"/>
      <c r="P78" s="25"/>
    </row>
    <row r="79" spans="3:16" s="17" customFormat="1" ht="12.75" x14ac:dyDescent="0.2">
      <c r="C79" s="18"/>
      <c r="D79" s="20" t="s">
        <v>151</v>
      </c>
      <c r="E79" s="51" t="s">
        <v>83</v>
      </c>
      <c r="F79" s="22" t="s">
        <v>152</v>
      </c>
      <c r="G79" s="23">
        <f t="shared" si="0"/>
        <v>0</v>
      </c>
      <c r="H79" s="27"/>
      <c r="I79" s="27"/>
      <c r="J79" s="27"/>
      <c r="K79" s="27"/>
      <c r="L79" s="19"/>
      <c r="M79" s="24"/>
      <c r="P79" s="25">
        <v>410</v>
      </c>
    </row>
    <row r="80" spans="3:16" s="17" customFormat="1" ht="12.75" x14ac:dyDescent="0.2">
      <c r="C80" s="18"/>
      <c r="D80" s="20" t="s">
        <v>153</v>
      </c>
      <c r="E80" s="21" t="s">
        <v>86</v>
      </c>
      <c r="F80" s="22" t="s">
        <v>154</v>
      </c>
      <c r="G80" s="23">
        <f t="shared" si="0"/>
        <v>5.1564399999999999</v>
      </c>
      <c r="H80" s="27">
        <f>H62</f>
        <v>1.22424</v>
      </c>
      <c r="I80" s="27"/>
      <c r="J80" s="27">
        <f>K67</f>
        <v>3.9321999999999999</v>
      </c>
      <c r="K80" s="27"/>
      <c r="L80" s="19"/>
      <c r="M80" s="24"/>
      <c r="P80" s="25">
        <v>440</v>
      </c>
    </row>
    <row r="81" spans="3:16" s="17" customFormat="1" ht="12.75" x14ac:dyDescent="0.2">
      <c r="C81" s="18"/>
      <c r="D81" s="20" t="s">
        <v>155</v>
      </c>
      <c r="E81" s="21" t="s">
        <v>89</v>
      </c>
      <c r="F81" s="22" t="s">
        <v>156</v>
      </c>
      <c r="G81" s="23">
        <f t="shared" si="0"/>
        <v>0</v>
      </c>
      <c r="H81" s="27"/>
      <c r="I81" s="27"/>
      <c r="J81" s="27"/>
      <c r="K81" s="27"/>
      <c r="L81" s="19"/>
      <c r="M81" s="24"/>
      <c r="P81" s="25">
        <v>450</v>
      </c>
    </row>
    <row r="82" spans="3:16" s="17" customFormat="1" ht="12.75" x14ac:dyDescent="0.2">
      <c r="C82" s="18"/>
      <c r="D82" s="20" t="s">
        <v>157</v>
      </c>
      <c r="E82" s="21" t="s">
        <v>92</v>
      </c>
      <c r="F82" s="22" t="s">
        <v>158</v>
      </c>
      <c r="G82" s="23">
        <f t="shared" si="0"/>
        <v>0</v>
      </c>
      <c r="H82" s="27"/>
      <c r="I82" s="27"/>
      <c r="J82" s="27"/>
      <c r="K82" s="27"/>
      <c r="L82" s="19"/>
      <c r="M82" s="24"/>
      <c r="P82" s="25">
        <v>470</v>
      </c>
    </row>
    <row r="83" spans="3:16" s="17" customFormat="1" ht="12.75" x14ac:dyDescent="0.2">
      <c r="C83" s="18"/>
      <c r="D83" s="20" t="s">
        <v>159</v>
      </c>
      <c r="E83" s="21" t="s">
        <v>95</v>
      </c>
      <c r="F83" s="22" t="s">
        <v>160</v>
      </c>
      <c r="G83" s="23">
        <f t="shared" si="0"/>
        <v>0.23099999999999987</v>
      </c>
      <c r="H83" s="27"/>
      <c r="I83" s="27"/>
      <c r="J83" s="27"/>
      <c r="K83" s="27">
        <f>G62-G73</f>
        <v>0.23099999999999987</v>
      </c>
      <c r="L83" s="19"/>
      <c r="M83" s="24"/>
      <c r="P83" s="25">
        <v>480</v>
      </c>
    </row>
    <row r="84" spans="3:16" s="17" customFormat="1" ht="12.75" x14ac:dyDescent="0.2">
      <c r="C84" s="18"/>
      <c r="D84" s="20" t="s">
        <v>161</v>
      </c>
      <c r="E84" s="26" t="s">
        <v>162</v>
      </c>
      <c r="F84" s="22" t="s">
        <v>163</v>
      </c>
      <c r="G84" s="23">
        <f t="shared" si="0"/>
        <v>0</v>
      </c>
      <c r="H84" s="27"/>
      <c r="I84" s="27"/>
      <c r="J84" s="27"/>
      <c r="K84" s="27"/>
      <c r="L84" s="19"/>
      <c r="M84" s="24"/>
      <c r="P84" s="25">
        <v>490</v>
      </c>
    </row>
    <row r="85" spans="3:16" s="17" customFormat="1" ht="12.75" x14ac:dyDescent="0.2">
      <c r="C85" s="18"/>
      <c r="D85" s="20" t="s">
        <v>164</v>
      </c>
      <c r="E85" s="21" t="s">
        <v>101</v>
      </c>
      <c r="F85" s="22" t="s">
        <v>165</v>
      </c>
      <c r="G85" s="23">
        <f t="shared" si="0"/>
        <v>0.23100000000000001</v>
      </c>
      <c r="H85" s="27"/>
      <c r="I85" s="27"/>
      <c r="J85" s="27"/>
      <c r="K85" s="27">
        <v>0.23100000000000001</v>
      </c>
      <c r="L85" s="19"/>
      <c r="M85" s="24"/>
      <c r="P85" s="25"/>
    </row>
    <row r="86" spans="3:16" s="17" customFormat="1" ht="22.5" x14ac:dyDescent="0.2">
      <c r="C86" s="18"/>
      <c r="D86" s="20" t="s">
        <v>166</v>
      </c>
      <c r="E86" s="46" t="s">
        <v>104</v>
      </c>
      <c r="F86" s="22" t="s">
        <v>167</v>
      </c>
      <c r="G86" s="23">
        <f t="shared" si="0"/>
        <v>0</v>
      </c>
      <c r="H86" s="23">
        <f>H83-H85</f>
        <v>0</v>
      </c>
      <c r="I86" s="23">
        <f>I83-I85</f>
        <v>0</v>
      </c>
      <c r="J86" s="23">
        <f>J83-J85</f>
        <v>0</v>
      </c>
      <c r="K86" s="23">
        <f>K83-K85</f>
        <v>0</v>
      </c>
      <c r="L86" s="19"/>
      <c r="M86" s="24"/>
      <c r="P86" s="25"/>
    </row>
    <row r="87" spans="3:16" s="17" customFormat="1" ht="12.75" x14ac:dyDescent="0.2">
      <c r="C87" s="18"/>
      <c r="D87" s="20" t="s">
        <v>168</v>
      </c>
      <c r="E87" s="21" t="s">
        <v>107</v>
      </c>
      <c r="F87" s="22" t="s">
        <v>169</v>
      </c>
      <c r="G87" s="23">
        <f t="shared" si="0"/>
        <v>0</v>
      </c>
      <c r="H87" s="23">
        <f>(H52+H64+H69)-(H70+H80+H81+H82+H83)</f>
        <v>0</v>
      </c>
      <c r="I87" s="23">
        <f>(I52+I64+I69)-(I70+I80+I81+I82+I83)</f>
        <v>0</v>
      </c>
      <c r="J87" s="23">
        <f>(J52+J64+J69)-(J70+J80+J81+J82+J83)</f>
        <v>0</v>
      </c>
      <c r="K87" s="23">
        <f>(K52+K64+K69)-(K70+K80+K81+K82+K83)</f>
        <v>0</v>
      </c>
      <c r="L87" s="19"/>
      <c r="M87" s="24"/>
      <c r="P87" s="25">
        <v>500</v>
      </c>
    </row>
    <row r="88" spans="3:16" s="17" customFormat="1" ht="12.75" x14ac:dyDescent="0.2">
      <c r="C88" s="18"/>
      <c r="D88" s="87" t="s">
        <v>170</v>
      </c>
      <c r="E88" s="88"/>
      <c r="F88" s="88"/>
      <c r="G88" s="88"/>
      <c r="H88" s="88"/>
      <c r="I88" s="88"/>
      <c r="J88" s="88"/>
      <c r="K88" s="89"/>
      <c r="L88" s="19"/>
      <c r="M88" s="24"/>
      <c r="P88" s="36"/>
    </row>
    <row r="89" spans="3:16" s="17" customFormat="1" ht="12.75" x14ac:dyDescent="0.2">
      <c r="C89" s="18"/>
      <c r="D89" s="20" t="s">
        <v>171</v>
      </c>
      <c r="E89" s="21" t="s">
        <v>172</v>
      </c>
      <c r="F89" s="22" t="s">
        <v>173</v>
      </c>
      <c r="G89" s="23">
        <f t="shared" si="0"/>
        <v>4.87</v>
      </c>
      <c r="H89" s="27"/>
      <c r="I89" s="27"/>
      <c r="J89" s="42">
        <f>J73</f>
        <v>1.1688000000000001</v>
      </c>
      <c r="K89" s="42">
        <f>K73</f>
        <v>3.7012</v>
      </c>
      <c r="L89" s="19"/>
      <c r="M89" s="24"/>
      <c r="P89" s="25">
        <v>600</v>
      </c>
    </row>
    <row r="90" spans="3:16" s="17" customFormat="1" ht="12.75" x14ac:dyDescent="0.2">
      <c r="C90" s="18"/>
      <c r="D90" s="20" t="s">
        <v>174</v>
      </c>
      <c r="E90" s="21" t="s">
        <v>175</v>
      </c>
      <c r="F90" s="22" t="s">
        <v>176</v>
      </c>
      <c r="G90" s="23">
        <f t="shared" si="0"/>
        <v>0</v>
      </c>
      <c r="H90" s="27"/>
      <c r="I90" s="27"/>
      <c r="J90" s="27"/>
      <c r="K90" s="27"/>
      <c r="L90" s="19"/>
      <c r="M90" s="24"/>
      <c r="P90" s="25">
        <v>610</v>
      </c>
    </row>
    <row r="91" spans="3:16" s="17" customFormat="1" ht="12.75" x14ac:dyDescent="0.2">
      <c r="C91" s="18"/>
      <c r="D91" s="20" t="s">
        <v>177</v>
      </c>
      <c r="E91" s="21" t="s">
        <v>178</v>
      </c>
      <c r="F91" s="22" t="s">
        <v>179</v>
      </c>
      <c r="G91" s="23">
        <f t="shared" si="0"/>
        <v>0</v>
      </c>
      <c r="H91" s="27"/>
      <c r="I91" s="27"/>
      <c r="J91" s="27"/>
      <c r="K91" s="27"/>
      <c r="L91" s="19"/>
      <c r="M91" s="24"/>
      <c r="P91" s="25">
        <v>620</v>
      </c>
    </row>
    <row r="92" spans="3:16" s="17" customFormat="1" ht="12.75" x14ac:dyDescent="0.2">
      <c r="C92" s="18"/>
      <c r="D92" s="87" t="s">
        <v>180</v>
      </c>
      <c r="E92" s="88"/>
      <c r="F92" s="88"/>
      <c r="G92" s="88"/>
      <c r="H92" s="88"/>
      <c r="I92" s="88"/>
      <c r="J92" s="88"/>
      <c r="K92" s="89"/>
      <c r="L92" s="19"/>
      <c r="M92" s="24"/>
      <c r="P92" s="36"/>
    </row>
    <row r="93" spans="3:16" s="17" customFormat="1" ht="12.75" x14ac:dyDescent="0.2">
      <c r="C93" s="18"/>
      <c r="D93" s="20" t="s">
        <v>181</v>
      </c>
      <c r="E93" s="21" t="s">
        <v>182</v>
      </c>
      <c r="F93" s="22" t="s">
        <v>183</v>
      </c>
      <c r="G93" s="23">
        <f t="shared" si="0"/>
        <v>0</v>
      </c>
      <c r="H93" s="23">
        <f>SUM(H94:H95)</f>
        <v>0</v>
      </c>
      <c r="I93" s="23">
        <f>SUM(I94:I95)</f>
        <v>0</v>
      </c>
      <c r="J93" s="23">
        <f>SUM(J94:J95)</f>
        <v>0</v>
      </c>
      <c r="K93" s="23">
        <f>SUM(K94:K95)</f>
        <v>0</v>
      </c>
      <c r="L93" s="19"/>
      <c r="M93" s="24"/>
      <c r="P93" s="25">
        <v>700</v>
      </c>
    </row>
    <row r="94" spans="3:16" ht="12.75" x14ac:dyDescent="0.2">
      <c r="C94" s="6"/>
      <c r="D94" s="55" t="s">
        <v>184</v>
      </c>
      <c r="E94" s="26" t="s">
        <v>185</v>
      </c>
      <c r="F94" s="22" t="s">
        <v>186</v>
      </c>
      <c r="G94" s="23">
        <f t="shared" si="0"/>
        <v>0</v>
      </c>
      <c r="H94" s="56"/>
      <c r="I94" s="56"/>
      <c r="J94" s="56"/>
      <c r="K94" s="56"/>
      <c r="L94" s="13"/>
      <c r="M94" s="24"/>
      <c r="P94" s="25">
        <v>710</v>
      </c>
    </row>
    <row r="95" spans="3:16" ht="12.75" x14ac:dyDescent="0.2">
      <c r="C95" s="6"/>
      <c r="D95" s="55" t="s">
        <v>187</v>
      </c>
      <c r="E95" s="26" t="s">
        <v>188</v>
      </c>
      <c r="F95" s="22" t="s">
        <v>189</v>
      </c>
      <c r="G95" s="23">
        <f t="shared" si="0"/>
        <v>0</v>
      </c>
      <c r="H95" s="57">
        <f>H98</f>
        <v>0</v>
      </c>
      <c r="I95" s="57">
        <f>I98</f>
        <v>0</v>
      </c>
      <c r="J95" s="57">
        <f>J98</f>
        <v>0</v>
      </c>
      <c r="K95" s="57">
        <f>K98</f>
        <v>0</v>
      </c>
      <c r="L95" s="13"/>
      <c r="M95" s="24"/>
      <c r="P95" s="25">
        <v>720</v>
      </c>
    </row>
    <row r="96" spans="3:16" ht="12.75" x14ac:dyDescent="0.2">
      <c r="C96" s="6"/>
      <c r="D96" s="55" t="s">
        <v>190</v>
      </c>
      <c r="E96" s="48" t="s">
        <v>191</v>
      </c>
      <c r="F96" s="22" t="s">
        <v>192</v>
      </c>
      <c r="G96" s="23">
        <f t="shared" si="0"/>
        <v>0</v>
      </c>
      <c r="H96" s="56"/>
      <c r="I96" s="56"/>
      <c r="J96" s="56"/>
      <c r="K96" s="56"/>
      <c r="L96" s="13"/>
      <c r="M96" s="24"/>
      <c r="P96" s="25">
        <v>730</v>
      </c>
    </row>
    <row r="97" spans="3:16" ht="12.75" x14ac:dyDescent="0.2">
      <c r="C97" s="6"/>
      <c r="D97" s="55" t="s">
        <v>193</v>
      </c>
      <c r="E97" s="49" t="s">
        <v>194</v>
      </c>
      <c r="F97" s="22" t="s">
        <v>195</v>
      </c>
      <c r="G97" s="23">
        <f t="shared" si="0"/>
        <v>0</v>
      </c>
      <c r="H97" s="56"/>
      <c r="I97" s="56"/>
      <c r="J97" s="56"/>
      <c r="K97" s="56"/>
      <c r="L97" s="13"/>
      <c r="M97" s="24"/>
      <c r="P97" s="25"/>
    </row>
    <row r="98" spans="3:16" ht="12.75" x14ac:dyDescent="0.2">
      <c r="C98" s="6"/>
      <c r="D98" s="55" t="s">
        <v>196</v>
      </c>
      <c r="E98" s="48" t="s">
        <v>197</v>
      </c>
      <c r="F98" s="22" t="s">
        <v>198</v>
      </c>
      <c r="G98" s="23">
        <f t="shared" si="0"/>
        <v>0</v>
      </c>
      <c r="H98" s="56"/>
      <c r="I98" s="56"/>
      <c r="J98" s="56"/>
      <c r="K98" s="56"/>
      <c r="L98" s="13"/>
      <c r="M98" s="24"/>
      <c r="P98" s="25">
        <v>740</v>
      </c>
    </row>
    <row r="99" spans="3:16" ht="12.75" x14ac:dyDescent="0.2">
      <c r="C99" s="6"/>
      <c r="D99" s="55" t="s">
        <v>199</v>
      </c>
      <c r="E99" s="21" t="s">
        <v>200</v>
      </c>
      <c r="F99" s="22" t="s">
        <v>201</v>
      </c>
      <c r="G99" s="23">
        <f t="shared" si="0"/>
        <v>0</v>
      </c>
      <c r="H99" s="57">
        <f>H100+H116</f>
        <v>0</v>
      </c>
      <c r="I99" s="57">
        <f>I100+I116</f>
        <v>0</v>
      </c>
      <c r="J99" s="57">
        <f>J100+J116</f>
        <v>0</v>
      </c>
      <c r="K99" s="57">
        <f>K100+K116</f>
        <v>0</v>
      </c>
      <c r="L99" s="13"/>
      <c r="M99" s="24"/>
      <c r="P99" s="25">
        <v>750</v>
      </c>
    </row>
    <row r="100" spans="3:16" ht="12.75" x14ac:dyDescent="0.2">
      <c r="C100" s="6"/>
      <c r="D100" s="55" t="s">
        <v>202</v>
      </c>
      <c r="E100" s="26" t="s">
        <v>203</v>
      </c>
      <c r="F100" s="22" t="s">
        <v>204</v>
      </c>
      <c r="G100" s="23">
        <f t="shared" si="0"/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57">
        <f>K101+K102</f>
        <v>0</v>
      </c>
      <c r="L100" s="13"/>
      <c r="M100" s="24"/>
      <c r="P100" s="25">
        <v>760</v>
      </c>
    </row>
    <row r="101" spans="3:16" ht="12.75" x14ac:dyDescent="0.2">
      <c r="C101" s="6"/>
      <c r="D101" s="55" t="s">
        <v>205</v>
      </c>
      <c r="E101" s="48" t="s">
        <v>206</v>
      </c>
      <c r="F101" s="22" t="s">
        <v>207</v>
      </c>
      <c r="G101" s="23">
        <f t="shared" si="0"/>
        <v>0</v>
      </c>
      <c r="H101" s="56"/>
      <c r="I101" s="56"/>
      <c r="J101" s="56"/>
      <c r="K101" s="56"/>
      <c r="L101" s="13"/>
      <c r="M101" s="24"/>
      <c r="P101" s="25"/>
    </row>
    <row r="102" spans="3:16" ht="12.75" x14ac:dyDescent="0.2">
      <c r="C102" s="6"/>
      <c r="D102" s="55" t="s">
        <v>208</v>
      </c>
      <c r="E102" s="48" t="s">
        <v>209</v>
      </c>
      <c r="F102" s="22" t="s">
        <v>210</v>
      </c>
      <c r="G102" s="23">
        <f t="shared" si="0"/>
        <v>0</v>
      </c>
      <c r="H102" s="57">
        <f>H103+H106+H109+H112+H113+H114+H115</f>
        <v>0</v>
      </c>
      <c r="I102" s="57">
        <f>I103+I106+I109+I112+I113+I114+I115</f>
        <v>0</v>
      </c>
      <c r="J102" s="57">
        <f>J103+J106+J109+J112+J113+J114+J115</f>
        <v>0</v>
      </c>
      <c r="K102" s="57">
        <f>K103+K106+K109+K112+K113+K114+K115</f>
        <v>0</v>
      </c>
      <c r="L102" s="13"/>
      <c r="M102" s="24"/>
      <c r="P102" s="25"/>
    </row>
    <row r="103" spans="3:16" ht="33.75" x14ac:dyDescent="0.2">
      <c r="C103" s="6"/>
      <c r="D103" s="55" t="s">
        <v>211</v>
      </c>
      <c r="E103" s="49" t="s">
        <v>212</v>
      </c>
      <c r="F103" s="22" t="s">
        <v>213</v>
      </c>
      <c r="G103" s="23">
        <f t="shared" si="0"/>
        <v>0</v>
      </c>
      <c r="H103" s="58">
        <f>H104+H105</f>
        <v>0</v>
      </c>
      <c r="I103" s="58">
        <f>I104+I105</f>
        <v>0</v>
      </c>
      <c r="J103" s="58">
        <f>J104+J105</f>
        <v>0</v>
      </c>
      <c r="K103" s="58">
        <f>K104+K105</f>
        <v>0</v>
      </c>
      <c r="L103" s="13"/>
      <c r="M103" s="24"/>
      <c r="P103" s="25"/>
    </row>
    <row r="104" spans="3:16" ht="12.75" x14ac:dyDescent="0.2">
      <c r="C104" s="6"/>
      <c r="D104" s="55" t="s">
        <v>214</v>
      </c>
      <c r="E104" s="59" t="s">
        <v>215</v>
      </c>
      <c r="F104" s="22" t="s">
        <v>216</v>
      </c>
      <c r="G104" s="23">
        <f t="shared" si="0"/>
        <v>0</v>
      </c>
      <c r="H104" s="56"/>
      <c r="I104" s="56"/>
      <c r="J104" s="56"/>
      <c r="K104" s="56"/>
      <c r="L104" s="13"/>
      <c r="M104" s="24"/>
      <c r="P104" s="25"/>
    </row>
    <row r="105" spans="3:16" ht="12.75" x14ac:dyDescent="0.2">
      <c r="C105" s="6"/>
      <c r="D105" s="55" t="s">
        <v>217</v>
      </c>
      <c r="E105" s="59" t="s">
        <v>218</v>
      </c>
      <c r="F105" s="22" t="s">
        <v>219</v>
      </c>
      <c r="G105" s="23">
        <f t="shared" si="0"/>
        <v>0</v>
      </c>
      <c r="H105" s="56"/>
      <c r="I105" s="56"/>
      <c r="J105" s="56"/>
      <c r="K105" s="56"/>
      <c r="L105" s="13"/>
      <c r="M105" s="24"/>
      <c r="P105" s="25"/>
    </row>
    <row r="106" spans="3:16" ht="33.75" x14ac:dyDescent="0.2">
      <c r="C106" s="6"/>
      <c r="D106" s="55" t="s">
        <v>220</v>
      </c>
      <c r="E106" s="49" t="s">
        <v>221</v>
      </c>
      <c r="F106" s="22" t="s">
        <v>222</v>
      </c>
      <c r="G106" s="23">
        <f t="shared" si="0"/>
        <v>0</v>
      </c>
      <c r="H106" s="58">
        <f>H107+H108</f>
        <v>0</v>
      </c>
      <c r="I106" s="58">
        <f>I107+I108</f>
        <v>0</v>
      </c>
      <c r="J106" s="58">
        <f>J107+J108</f>
        <v>0</v>
      </c>
      <c r="K106" s="58">
        <f>K107+K108</f>
        <v>0</v>
      </c>
      <c r="L106" s="13"/>
      <c r="M106" s="24"/>
      <c r="P106" s="25"/>
    </row>
    <row r="107" spans="3:16" ht="12.75" x14ac:dyDescent="0.2">
      <c r="C107" s="6"/>
      <c r="D107" s="55" t="s">
        <v>223</v>
      </c>
      <c r="E107" s="59" t="s">
        <v>215</v>
      </c>
      <c r="F107" s="22" t="s">
        <v>224</v>
      </c>
      <c r="G107" s="23">
        <f t="shared" si="0"/>
        <v>0</v>
      </c>
      <c r="H107" s="56"/>
      <c r="I107" s="56"/>
      <c r="J107" s="56"/>
      <c r="K107" s="56"/>
      <c r="L107" s="13"/>
      <c r="M107" s="24"/>
      <c r="P107" s="25"/>
    </row>
    <row r="108" spans="3:16" ht="12.75" x14ac:dyDescent="0.2">
      <c r="C108" s="6"/>
      <c r="D108" s="55" t="s">
        <v>225</v>
      </c>
      <c r="E108" s="59" t="s">
        <v>218</v>
      </c>
      <c r="F108" s="22" t="s">
        <v>226</v>
      </c>
      <c r="G108" s="23">
        <f t="shared" si="0"/>
        <v>0</v>
      </c>
      <c r="H108" s="56"/>
      <c r="I108" s="56"/>
      <c r="J108" s="56"/>
      <c r="K108" s="56"/>
      <c r="L108" s="13"/>
      <c r="M108" s="24"/>
      <c r="P108" s="25"/>
    </row>
    <row r="109" spans="3:16" ht="22.5" x14ac:dyDescent="0.2">
      <c r="C109" s="6"/>
      <c r="D109" s="55" t="s">
        <v>227</v>
      </c>
      <c r="E109" s="49" t="s">
        <v>228</v>
      </c>
      <c r="F109" s="22" t="s">
        <v>229</v>
      </c>
      <c r="G109" s="23">
        <f t="shared" si="0"/>
        <v>0</v>
      </c>
      <c r="H109" s="58">
        <f>H110+H111</f>
        <v>0</v>
      </c>
      <c r="I109" s="58">
        <f>I110+I111</f>
        <v>0</v>
      </c>
      <c r="J109" s="58">
        <f>J110+J111</f>
        <v>0</v>
      </c>
      <c r="K109" s="58">
        <f>K110+K111</f>
        <v>0</v>
      </c>
      <c r="L109" s="13"/>
      <c r="M109" s="24"/>
      <c r="P109" s="25"/>
    </row>
    <row r="110" spans="3:16" ht="12.75" x14ac:dyDescent="0.2">
      <c r="C110" s="6"/>
      <c r="D110" s="55" t="s">
        <v>230</v>
      </c>
      <c r="E110" s="59" t="s">
        <v>215</v>
      </c>
      <c r="F110" s="22" t="s">
        <v>231</v>
      </c>
      <c r="G110" s="23">
        <f t="shared" si="0"/>
        <v>0</v>
      </c>
      <c r="H110" s="56"/>
      <c r="I110" s="56"/>
      <c r="J110" s="56"/>
      <c r="K110" s="56"/>
      <c r="L110" s="13"/>
      <c r="M110" s="24"/>
      <c r="P110" s="25"/>
    </row>
    <row r="111" spans="3:16" ht="12.75" x14ac:dyDescent="0.2">
      <c r="C111" s="6"/>
      <c r="D111" s="55" t="s">
        <v>232</v>
      </c>
      <c r="E111" s="59" t="s">
        <v>218</v>
      </c>
      <c r="F111" s="22" t="s">
        <v>233</v>
      </c>
      <c r="G111" s="23">
        <f t="shared" si="0"/>
        <v>0</v>
      </c>
      <c r="H111" s="56"/>
      <c r="I111" s="56"/>
      <c r="J111" s="56"/>
      <c r="K111" s="56"/>
      <c r="L111" s="13"/>
      <c r="M111" s="24"/>
      <c r="P111" s="25"/>
    </row>
    <row r="112" spans="3:16" ht="12.75" x14ac:dyDescent="0.2">
      <c r="C112" s="6"/>
      <c r="D112" s="55" t="s">
        <v>234</v>
      </c>
      <c r="E112" s="49" t="s">
        <v>235</v>
      </c>
      <c r="F112" s="22" t="s">
        <v>236</v>
      </c>
      <c r="G112" s="23">
        <f t="shared" si="0"/>
        <v>0</v>
      </c>
      <c r="H112" s="56"/>
      <c r="I112" s="56"/>
      <c r="J112" s="56"/>
      <c r="K112" s="56"/>
      <c r="L112" s="13"/>
      <c r="M112" s="24"/>
      <c r="P112" s="25"/>
    </row>
    <row r="113" spans="3:16" ht="12.75" x14ac:dyDescent="0.2">
      <c r="C113" s="6"/>
      <c r="D113" s="55" t="s">
        <v>237</v>
      </c>
      <c r="E113" s="49" t="s">
        <v>238</v>
      </c>
      <c r="F113" s="22" t="s">
        <v>239</v>
      </c>
      <c r="G113" s="23">
        <f t="shared" si="0"/>
        <v>0</v>
      </c>
      <c r="H113" s="56"/>
      <c r="I113" s="56"/>
      <c r="J113" s="56"/>
      <c r="K113" s="56"/>
      <c r="L113" s="13"/>
      <c r="M113" s="24"/>
      <c r="P113" s="25"/>
    </row>
    <row r="114" spans="3:16" ht="33.75" x14ac:dyDescent="0.2">
      <c r="C114" s="6"/>
      <c r="D114" s="55" t="s">
        <v>240</v>
      </c>
      <c r="E114" s="49" t="s">
        <v>241</v>
      </c>
      <c r="F114" s="22" t="s">
        <v>242</v>
      </c>
      <c r="G114" s="23">
        <f t="shared" si="0"/>
        <v>0</v>
      </c>
      <c r="H114" s="56"/>
      <c r="I114" s="56"/>
      <c r="J114" s="56"/>
      <c r="K114" s="56"/>
      <c r="L114" s="13"/>
      <c r="M114" s="24"/>
      <c r="P114" s="25"/>
    </row>
    <row r="115" spans="3:16" ht="22.5" x14ac:dyDescent="0.2">
      <c r="C115" s="6"/>
      <c r="D115" s="55" t="s">
        <v>243</v>
      </c>
      <c r="E115" s="49" t="s">
        <v>244</v>
      </c>
      <c r="F115" s="22" t="s">
        <v>245</v>
      </c>
      <c r="G115" s="23">
        <f t="shared" si="0"/>
        <v>0</v>
      </c>
      <c r="H115" s="56"/>
      <c r="I115" s="56"/>
      <c r="J115" s="56"/>
      <c r="K115" s="56"/>
      <c r="L115" s="13"/>
      <c r="M115" s="24"/>
      <c r="P115" s="25"/>
    </row>
    <row r="116" spans="3:16" ht="12.75" x14ac:dyDescent="0.2">
      <c r="C116" s="6"/>
      <c r="D116" s="55" t="s">
        <v>246</v>
      </c>
      <c r="E116" s="26" t="s">
        <v>247</v>
      </c>
      <c r="F116" s="22" t="s">
        <v>248</v>
      </c>
      <c r="G116" s="23">
        <f t="shared" si="0"/>
        <v>0</v>
      </c>
      <c r="H116" s="57">
        <f>H119</f>
        <v>0</v>
      </c>
      <c r="I116" s="57">
        <f>I119</f>
        <v>0</v>
      </c>
      <c r="J116" s="57">
        <f>J119</f>
        <v>0</v>
      </c>
      <c r="K116" s="57">
        <f>K119</f>
        <v>0</v>
      </c>
      <c r="L116" s="13"/>
      <c r="M116" s="24"/>
      <c r="P116" s="25">
        <v>770</v>
      </c>
    </row>
    <row r="117" spans="3:16" ht="12.75" x14ac:dyDescent="0.2">
      <c r="C117" s="6"/>
      <c r="D117" s="55" t="s">
        <v>249</v>
      </c>
      <c r="E117" s="48" t="s">
        <v>191</v>
      </c>
      <c r="F117" s="22" t="s">
        <v>250</v>
      </c>
      <c r="G117" s="23">
        <f t="shared" si="0"/>
        <v>0</v>
      </c>
      <c r="H117" s="56"/>
      <c r="I117" s="56"/>
      <c r="J117" s="56"/>
      <c r="K117" s="56"/>
      <c r="L117" s="13"/>
      <c r="M117" s="24"/>
      <c r="P117" s="25">
        <v>780</v>
      </c>
    </row>
    <row r="118" spans="3:16" ht="12.75" x14ac:dyDescent="0.2">
      <c r="C118" s="6"/>
      <c r="D118" s="55" t="s">
        <v>251</v>
      </c>
      <c r="E118" s="49" t="s">
        <v>252</v>
      </c>
      <c r="F118" s="22" t="s">
        <v>253</v>
      </c>
      <c r="G118" s="23">
        <f t="shared" si="0"/>
        <v>0</v>
      </c>
      <c r="H118" s="56"/>
      <c r="I118" s="56"/>
      <c r="J118" s="56"/>
      <c r="K118" s="56"/>
      <c r="L118" s="13"/>
      <c r="M118" s="24"/>
      <c r="P118" s="25"/>
    </row>
    <row r="119" spans="3:16" ht="12.75" x14ac:dyDescent="0.2">
      <c r="C119" s="6"/>
      <c r="D119" s="55" t="s">
        <v>254</v>
      </c>
      <c r="E119" s="48" t="s">
        <v>197</v>
      </c>
      <c r="F119" s="22" t="s">
        <v>255</v>
      </c>
      <c r="G119" s="23">
        <f t="shared" si="0"/>
        <v>0</v>
      </c>
      <c r="H119" s="56"/>
      <c r="I119" s="56"/>
      <c r="J119" s="56"/>
      <c r="K119" s="56"/>
      <c r="L119" s="13"/>
      <c r="M119" s="24"/>
      <c r="P119" s="25">
        <v>790</v>
      </c>
    </row>
    <row r="120" spans="3:16" ht="12.75" x14ac:dyDescent="0.2">
      <c r="C120" s="6"/>
      <c r="D120" s="55" t="s">
        <v>256</v>
      </c>
      <c r="E120" s="46" t="s">
        <v>257</v>
      </c>
      <c r="F120" s="22" t="s">
        <v>258</v>
      </c>
      <c r="G120" s="23">
        <f t="shared" si="0"/>
        <v>2381.4540000000002</v>
      </c>
      <c r="H120" s="57">
        <f>SUM(H121:H122)</f>
        <v>0</v>
      </c>
      <c r="I120" s="57">
        <f>SUM(I121:I122)</f>
        <v>0</v>
      </c>
      <c r="J120" s="57">
        <f>SUM(J121:J122)</f>
        <v>262.07</v>
      </c>
      <c r="K120" s="57">
        <f>SUM(K121:K122)</f>
        <v>2119.384</v>
      </c>
      <c r="L120" s="13"/>
      <c r="M120" s="24"/>
      <c r="P120" s="25"/>
    </row>
    <row r="121" spans="3:16" ht="12.75" x14ac:dyDescent="0.2">
      <c r="C121" s="6"/>
      <c r="D121" s="55" t="s">
        <v>259</v>
      </c>
      <c r="E121" s="26" t="s">
        <v>185</v>
      </c>
      <c r="F121" s="22" t="s">
        <v>260</v>
      </c>
      <c r="G121" s="23">
        <f t="shared" si="0"/>
        <v>2381.4540000000002</v>
      </c>
      <c r="H121" s="56"/>
      <c r="I121" s="56"/>
      <c r="J121" s="56">
        <f>J36</f>
        <v>262.07</v>
      </c>
      <c r="K121" s="56">
        <f>K36</f>
        <v>2119.384</v>
      </c>
      <c r="L121" s="13"/>
      <c r="M121" s="24"/>
      <c r="P121" s="25"/>
    </row>
    <row r="122" spans="3:16" ht="12.75" x14ac:dyDescent="0.2">
      <c r="C122" s="6"/>
      <c r="D122" s="55" t="s">
        <v>261</v>
      </c>
      <c r="E122" s="26" t="s">
        <v>188</v>
      </c>
      <c r="F122" s="22" t="s">
        <v>262</v>
      </c>
      <c r="G122" s="23">
        <f t="shared" si="0"/>
        <v>0</v>
      </c>
      <c r="H122" s="57">
        <f>H124</f>
        <v>0</v>
      </c>
      <c r="I122" s="57">
        <f>I124</f>
        <v>0</v>
      </c>
      <c r="J122" s="57">
        <f>J124</f>
        <v>0</v>
      </c>
      <c r="K122" s="57">
        <f>K124</f>
        <v>0</v>
      </c>
      <c r="L122" s="13"/>
      <c r="M122" s="24"/>
      <c r="P122" s="25"/>
    </row>
    <row r="123" spans="3:16" ht="12.75" x14ac:dyDescent="0.2">
      <c r="C123" s="6"/>
      <c r="D123" s="55" t="s">
        <v>263</v>
      </c>
      <c r="E123" s="48" t="s">
        <v>264</v>
      </c>
      <c r="F123" s="22" t="s">
        <v>265</v>
      </c>
      <c r="G123" s="23">
        <f t="shared" si="0"/>
        <v>0</v>
      </c>
      <c r="H123" s="56"/>
      <c r="I123" s="56"/>
      <c r="J123" s="56"/>
      <c r="K123" s="56"/>
      <c r="L123" s="13"/>
      <c r="M123" s="24"/>
      <c r="P123" s="25"/>
    </row>
    <row r="124" spans="3:16" ht="12.75" x14ac:dyDescent="0.2">
      <c r="C124" s="6"/>
      <c r="D124" s="55" t="s">
        <v>266</v>
      </c>
      <c r="E124" s="48" t="s">
        <v>197</v>
      </c>
      <c r="F124" s="22" t="s">
        <v>267</v>
      </c>
      <c r="G124" s="23">
        <f t="shared" si="0"/>
        <v>0</v>
      </c>
      <c r="H124" s="56"/>
      <c r="I124" s="56"/>
      <c r="J124" s="56"/>
      <c r="K124" s="56"/>
      <c r="L124" s="13"/>
      <c r="M124" s="24"/>
      <c r="P124" s="25"/>
    </row>
    <row r="125" spans="3:16" ht="12.75" x14ac:dyDescent="0.2">
      <c r="C125" s="6"/>
      <c r="D125" s="87" t="s">
        <v>268</v>
      </c>
      <c r="E125" s="88"/>
      <c r="F125" s="88"/>
      <c r="G125" s="88"/>
      <c r="H125" s="88"/>
      <c r="I125" s="88"/>
      <c r="J125" s="88"/>
      <c r="K125" s="89"/>
      <c r="L125" s="13"/>
      <c r="M125" s="24"/>
      <c r="P125" s="60"/>
    </row>
    <row r="126" spans="3:16" ht="22.5" x14ac:dyDescent="0.2">
      <c r="C126" s="6"/>
      <c r="D126" s="55" t="s">
        <v>269</v>
      </c>
      <c r="E126" s="21" t="s">
        <v>270</v>
      </c>
      <c r="F126" s="22" t="s">
        <v>271</v>
      </c>
      <c r="G126" s="23">
        <f t="shared" si="0"/>
        <v>0</v>
      </c>
      <c r="H126" s="57">
        <f>SUM( H127:H128)</f>
        <v>0</v>
      </c>
      <c r="I126" s="57">
        <f>SUM( I127:I128)</f>
        <v>0</v>
      </c>
      <c r="J126" s="57">
        <f>SUM( J127:J128)</f>
        <v>0</v>
      </c>
      <c r="K126" s="57">
        <f>SUM( K127:K128)</f>
        <v>0</v>
      </c>
      <c r="L126" s="13"/>
      <c r="M126" s="24"/>
      <c r="P126" s="25">
        <v>800</v>
      </c>
    </row>
    <row r="127" spans="3:16" ht="12.75" x14ac:dyDescent="0.2">
      <c r="C127" s="6"/>
      <c r="D127" s="55" t="s">
        <v>272</v>
      </c>
      <c r="E127" s="26" t="s">
        <v>185</v>
      </c>
      <c r="F127" s="22" t="s">
        <v>273</v>
      </c>
      <c r="G127" s="23">
        <f t="shared" si="0"/>
        <v>0</v>
      </c>
      <c r="H127" s="56"/>
      <c r="I127" s="56"/>
      <c r="J127" s="56"/>
      <c r="K127" s="56"/>
      <c r="L127" s="13"/>
      <c r="M127" s="24"/>
      <c r="P127" s="25">
        <v>810</v>
      </c>
    </row>
    <row r="128" spans="3:16" ht="12.75" x14ac:dyDescent="0.2">
      <c r="C128" s="6"/>
      <c r="D128" s="55" t="s">
        <v>274</v>
      </c>
      <c r="E128" s="26" t="s">
        <v>188</v>
      </c>
      <c r="F128" s="22" t="s">
        <v>275</v>
      </c>
      <c r="G128" s="23">
        <f t="shared" si="0"/>
        <v>0</v>
      </c>
      <c r="H128" s="57">
        <f>H129+H131</f>
        <v>0</v>
      </c>
      <c r="I128" s="57">
        <f>I129+I131</f>
        <v>0</v>
      </c>
      <c r="J128" s="57">
        <f>J129+J131</f>
        <v>0</v>
      </c>
      <c r="K128" s="57">
        <f>K129+K131</f>
        <v>0</v>
      </c>
      <c r="L128" s="13"/>
      <c r="M128" s="24"/>
      <c r="P128" s="25">
        <v>820</v>
      </c>
    </row>
    <row r="129" spans="3:16" ht="12.75" x14ac:dyDescent="0.2">
      <c r="C129" s="6"/>
      <c r="D129" s="55" t="s">
        <v>276</v>
      </c>
      <c r="E129" s="48" t="s">
        <v>277</v>
      </c>
      <c r="F129" s="22" t="s">
        <v>278</v>
      </c>
      <c r="G129" s="23">
        <f t="shared" si="0"/>
        <v>0</v>
      </c>
      <c r="H129" s="56"/>
      <c r="I129" s="56"/>
      <c r="J129" s="56"/>
      <c r="K129" s="56"/>
      <c r="L129" s="13"/>
      <c r="M129" s="24"/>
      <c r="P129" s="25">
        <v>830</v>
      </c>
    </row>
    <row r="130" spans="3:16" ht="12.75" x14ac:dyDescent="0.2">
      <c r="C130" s="6"/>
      <c r="D130" s="55" t="s">
        <v>279</v>
      </c>
      <c r="E130" s="49" t="s">
        <v>280</v>
      </c>
      <c r="F130" s="22" t="s">
        <v>281</v>
      </c>
      <c r="G130" s="23">
        <f t="shared" si="0"/>
        <v>0</v>
      </c>
      <c r="H130" s="56"/>
      <c r="I130" s="56"/>
      <c r="J130" s="56"/>
      <c r="K130" s="56"/>
      <c r="L130" s="13"/>
      <c r="M130" s="24"/>
      <c r="P130" s="60"/>
    </row>
    <row r="131" spans="3:16" ht="12.75" x14ac:dyDescent="0.2">
      <c r="C131" s="6"/>
      <c r="D131" s="55" t="s">
        <v>282</v>
      </c>
      <c r="E131" s="48" t="s">
        <v>283</v>
      </c>
      <c r="F131" s="22" t="s">
        <v>284</v>
      </c>
      <c r="G131" s="23">
        <f t="shared" si="0"/>
        <v>0</v>
      </c>
      <c r="H131" s="56"/>
      <c r="I131" s="56"/>
      <c r="J131" s="56"/>
      <c r="K131" s="56"/>
      <c r="L131" s="13"/>
      <c r="M131" s="24"/>
      <c r="P131" s="25">
        <v>840</v>
      </c>
    </row>
    <row r="132" spans="3:16" ht="12.75" x14ac:dyDescent="0.2">
      <c r="C132" s="6"/>
      <c r="D132" s="55" t="s">
        <v>30</v>
      </c>
      <c r="E132" s="21" t="s">
        <v>285</v>
      </c>
      <c r="F132" s="22" t="s">
        <v>286</v>
      </c>
      <c r="G132" s="23">
        <f t="shared" si="0"/>
        <v>0</v>
      </c>
      <c r="H132" s="58">
        <f>SUM( H133+H138)</f>
        <v>0</v>
      </c>
      <c r="I132" s="58">
        <f>SUM( I133+I138)</f>
        <v>0</v>
      </c>
      <c r="J132" s="58">
        <f>SUM( J133+J138)</f>
        <v>0</v>
      </c>
      <c r="K132" s="58">
        <f>SUM( K133+K138)</f>
        <v>0</v>
      </c>
      <c r="L132" s="61"/>
      <c r="M132" s="24"/>
      <c r="P132" s="25">
        <v>850</v>
      </c>
    </row>
    <row r="133" spans="3:16" ht="12.75" x14ac:dyDescent="0.2">
      <c r="C133" s="6"/>
      <c r="D133" s="55" t="s">
        <v>287</v>
      </c>
      <c r="E133" s="26" t="s">
        <v>185</v>
      </c>
      <c r="F133" s="22" t="s">
        <v>288</v>
      </c>
      <c r="G133" s="23">
        <f t="shared" ref="G133:G146" si="1">SUM(H133:K133)</f>
        <v>0</v>
      </c>
      <c r="H133" s="58">
        <f>SUM( H134:H135)</f>
        <v>0</v>
      </c>
      <c r="I133" s="58">
        <f>SUM( I134:I135)</f>
        <v>0</v>
      </c>
      <c r="J133" s="58">
        <f>SUM( J134:J135)</f>
        <v>0</v>
      </c>
      <c r="K133" s="58">
        <f>SUM( K134:K135)</f>
        <v>0</v>
      </c>
      <c r="L133" s="61"/>
      <c r="M133" s="24"/>
      <c r="P133" s="25">
        <v>860</v>
      </c>
    </row>
    <row r="134" spans="3:16" ht="12.75" x14ac:dyDescent="0.2">
      <c r="C134" s="6"/>
      <c r="D134" s="55" t="s">
        <v>289</v>
      </c>
      <c r="E134" s="48" t="s">
        <v>206</v>
      </c>
      <c r="F134" s="22" t="s">
        <v>290</v>
      </c>
      <c r="G134" s="23">
        <f t="shared" si="1"/>
        <v>0</v>
      </c>
      <c r="H134" s="62"/>
      <c r="I134" s="62"/>
      <c r="J134" s="62"/>
      <c r="K134" s="62"/>
      <c r="L134" s="61"/>
      <c r="M134" s="24"/>
      <c r="P134" s="25"/>
    </row>
    <row r="135" spans="3:16" ht="12.75" x14ac:dyDescent="0.2">
      <c r="C135" s="6"/>
      <c r="D135" s="55" t="s">
        <v>291</v>
      </c>
      <c r="E135" s="48" t="s">
        <v>209</v>
      </c>
      <c r="F135" s="22" t="s">
        <v>292</v>
      </c>
      <c r="G135" s="23">
        <f t="shared" si="1"/>
        <v>0</v>
      </c>
      <c r="H135" s="58">
        <f>H136+H137</f>
        <v>0</v>
      </c>
      <c r="I135" s="58">
        <f>I136+I137</f>
        <v>0</v>
      </c>
      <c r="J135" s="58">
        <f>J136+J137</f>
        <v>0</v>
      </c>
      <c r="K135" s="58">
        <f>K136+K137</f>
        <v>0</v>
      </c>
      <c r="L135" s="61"/>
      <c r="M135" s="24"/>
      <c r="P135" s="25"/>
    </row>
    <row r="136" spans="3:16" ht="12.75" x14ac:dyDescent="0.2">
      <c r="C136" s="6"/>
      <c r="D136" s="55" t="s">
        <v>293</v>
      </c>
      <c r="E136" s="49" t="s">
        <v>215</v>
      </c>
      <c r="F136" s="22" t="s">
        <v>294</v>
      </c>
      <c r="G136" s="23">
        <f t="shared" si="1"/>
        <v>0</v>
      </c>
      <c r="H136" s="62"/>
      <c r="I136" s="62"/>
      <c r="J136" s="62"/>
      <c r="K136" s="62"/>
      <c r="L136" s="61"/>
      <c r="M136" s="24"/>
      <c r="P136" s="25"/>
    </row>
    <row r="137" spans="3:16" ht="12.75" x14ac:dyDescent="0.2">
      <c r="C137" s="6"/>
      <c r="D137" s="55" t="s">
        <v>295</v>
      </c>
      <c r="E137" s="49" t="s">
        <v>296</v>
      </c>
      <c r="F137" s="22" t="s">
        <v>297</v>
      </c>
      <c r="G137" s="23">
        <f t="shared" si="1"/>
        <v>0</v>
      </c>
      <c r="H137" s="62"/>
      <c r="I137" s="62"/>
      <c r="J137" s="62"/>
      <c r="K137" s="62"/>
      <c r="L137" s="61"/>
      <c r="M137" s="24"/>
      <c r="P137" s="25"/>
    </row>
    <row r="138" spans="3:16" ht="12.75" x14ac:dyDescent="0.2">
      <c r="C138" s="6"/>
      <c r="D138" s="55" t="s">
        <v>298</v>
      </c>
      <c r="E138" s="26" t="s">
        <v>247</v>
      </c>
      <c r="F138" s="22" t="s">
        <v>299</v>
      </c>
      <c r="G138" s="23">
        <f t="shared" si="1"/>
        <v>0</v>
      </c>
      <c r="H138" s="58">
        <f>H139+H141</f>
        <v>0</v>
      </c>
      <c r="I138" s="58">
        <f>I139+I141</f>
        <v>0</v>
      </c>
      <c r="J138" s="58">
        <f>J139+J141</f>
        <v>0</v>
      </c>
      <c r="K138" s="58">
        <f>K139+K141</f>
        <v>0</v>
      </c>
      <c r="L138" s="61"/>
      <c r="M138" s="24"/>
      <c r="P138" s="25">
        <v>870</v>
      </c>
    </row>
    <row r="139" spans="3:16" ht="12.75" x14ac:dyDescent="0.2">
      <c r="C139" s="6"/>
      <c r="D139" s="55" t="s">
        <v>300</v>
      </c>
      <c r="E139" s="48" t="s">
        <v>277</v>
      </c>
      <c r="F139" s="22" t="s">
        <v>301</v>
      </c>
      <c r="G139" s="23">
        <f t="shared" si="1"/>
        <v>0</v>
      </c>
      <c r="H139" s="56"/>
      <c r="I139" s="56"/>
      <c r="J139" s="56"/>
      <c r="K139" s="56"/>
      <c r="L139" s="61"/>
      <c r="M139" s="24"/>
      <c r="P139" s="25">
        <v>880</v>
      </c>
    </row>
    <row r="140" spans="3:16" ht="12.75" x14ac:dyDescent="0.2">
      <c r="C140" s="6"/>
      <c r="D140" s="55" t="s">
        <v>302</v>
      </c>
      <c r="E140" s="49" t="s">
        <v>280</v>
      </c>
      <c r="F140" s="22" t="s">
        <v>303</v>
      </c>
      <c r="G140" s="23">
        <f t="shared" si="1"/>
        <v>0</v>
      </c>
      <c r="H140" s="56"/>
      <c r="I140" s="56"/>
      <c r="J140" s="56"/>
      <c r="K140" s="56"/>
      <c r="L140" s="61"/>
      <c r="M140" s="24"/>
      <c r="P140" s="25"/>
    </row>
    <row r="141" spans="3:16" ht="12.75" x14ac:dyDescent="0.2">
      <c r="C141" s="6"/>
      <c r="D141" s="55" t="s">
        <v>304</v>
      </c>
      <c r="E141" s="48" t="s">
        <v>283</v>
      </c>
      <c r="F141" s="22" t="s">
        <v>305</v>
      </c>
      <c r="G141" s="23">
        <f t="shared" si="1"/>
        <v>0</v>
      </c>
      <c r="H141" s="63"/>
      <c r="I141" s="63"/>
      <c r="J141" s="63"/>
      <c r="K141" s="63"/>
      <c r="L141" s="61"/>
      <c r="M141" s="24"/>
      <c r="P141" s="25">
        <v>890</v>
      </c>
    </row>
    <row r="142" spans="3:16" ht="12.75" x14ac:dyDescent="0.2">
      <c r="C142" s="6"/>
      <c r="D142" s="55" t="s">
        <v>306</v>
      </c>
      <c r="E142" s="21" t="s">
        <v>307</v>
      </c>
      <c r="F142" s="22" t="s">
        <v>308</v>
      </c>
      <c r="G142" s="23">
        <f t="shared" si="1"/>
        <v>3491.2115640000002</v>
      </c>
      <c r="H142" s="64">
        <f>SUM( H143:H144)</f>
        <v>0</v>
      </c>
      <c r="I142" s="64">
        <f>SUM( I143:I144)</f>
        <v>0</v>
      </c>
      <c r="J142" s="64">
        <f>SUM( J143:J144)</f>
        <v>384.19461999999999</v>
      </c>
      <c r="K142" s="64">
        <f>SUM( K143:K144)</f>
        <v>3107.016944</v>
      </c>
      <c r="L142" s="61"/>
      <c r="M142" s="24"/>
      <c r="P142" s="25">
        <v>900</v>
      </c>
    </row>
    <row r="143" spans="3:16" ht="12.75" x14ac:dyDescent="0.2">
      <c r="C143" s="6"/>
      <c r="D143" s="55" t="s">
        <v>309</v>
      </c>
      <c r="E143" s="26" t="s">
        <v>185</v>
      </c>
      <c r="F143" s="22" t="s">
        <v>310</v>
      </c>
      <c r="G143" s="23">
        <f t="shared" si="1"/>
        <v>3491.2115640000002</v>
      </c>
      <c r="H143" s="63"/>
      <c r="I143" s="63"/>
      <c r="J143" s="65">
        <f>J121*1.466</f>
        <v>384.19461999999999</v>
      </c>
      <c r="K143" s="65">
        <f>K121*1.466</f>
        <v>3107.016944</v>
      </c>
      <c r="L143" s="61"/>
      <c r="M143" s="24"/>
      <c r="P143" s="25"/>
    </row>
    <row r="144" spans="3:16" ht="12.75" x14ac:dyDescent="0.2">
      <c r="C144" s="6"/>
      <c r="D144" s="55" t="s">
        <v>311</v>
      </c>
      <c r="E144" s="26" t="s">
        <v>188</v>
      </c>
      <c r="F144" s="22" t="s">
        <v>312</v>
      </c>
      <c r="G144" s="23">
        <f t="shared" si="1"/>
        <v>0</v>
      </c>
      <c r="H144" s="64">
        <f>H145+H146</f>
        <v>0</v>
      </c>
      <c r="I144" s="64">
        <f>I145+I146</f>
        <v>0</v>
      </c>
      <c r="J144" s="64">
        <f>J145+J146</f>
        <v>0</v>
      </c>
      <c r="K144" s="64">
        <f>K145+K146</f>
        <v>0</v>
      </c>
      <c r="L144" s="61"/>
      <c r="M144" s="24"/>
      <c r="P144" s="25"/>
    </row>
    <row r="145" spans="3:19" ht="12.75" x14ac:dyDescent="0.2">
      <c r="C145" s="6"/>
      <c r="D145" s="55" t="s">
        <v>313</v>
      </c>
      <c r="E145" s="48" t="s">
        <v>314</v>
      </c>
      <c r="F145" s="22" t="s">
        <v>315</v>
      </c>
      <c r="G145" s="23">
        <f t="shared" si="1"/>
        <v>0</v>
      </c>
      <c r="H145" s="63"/>
      <c r="I145" s="63"/>
      <c r="J145" s="63"/>
      <c r="K145" s="63"/>
      <c r="L145" s="61"/>
      <c r="M145" s="24"/>
      <c r="P145" s="25" t="s">
        <v>316</v>
      </c>
    </row>
    <row r="146" spans="3:19" ht="12.75" x14ac:dyDescent="0.2">
      <c r="C146" s="6"/>
      <c r="D146" s="55" t="s">
        <v>317</v>
      </c>
      <c r="E146" s="48" t="s">
        <v>283</v>
      </c>
      <c r="F146" s="22" t="s">
        <v>318</v>
      </c>
      <c r="G146" s="23">
        <f t="shared" si="1"/>
        <v>0</v>
      </c>
      <c r="H146" s="63"/>
      <c r="I146" s="63"/>
      <c r="J146" s="63"/>
      <c r="K146" s="66"/>
      <c r="L146" s="61"/>
      <c r="M146" s="24"/>
      <c r="P146" s="25" t="s">
        <v>319</v>
      </c>
    </row>
    <row r="147" spans="3:19" x14ac:dyDescent="0.25">
      <c r="D147" s="11"/>
      <c r="E147" s="67"/>
      <c r="F147" s="67"/>
      <c r="G147" s="67"/>
      <c r="H147" s="67"/>
      <c r="I147" s="67"/>
      <c r="J147" s="67"/>
      <c r="K147" s="68"/>
      <c r="L147" s="68"/>
      <c r="M147" s="68"/>
      <c r="N147" s="68"/>
      <c r="O147" s="68"/>
      <c r="P147" s="68"/>
      <c r="Q147" s="68"/>
      <c r="R147" s="69"/>
      <c r="S147" s="69"/>
    </row>
    <row r="148" spans="3:19" ht="12.75" x14ac:dyDescent="0.2">
      <c r="E148" s="24" t="s">
        <v>320</v>
      </c>
      <c r="F148" s="79" t="str">
        <f>IF([1]Титульный!G45="","",[1]Титульный!G45)</f>
        <v>Коммерческий директор</v>
      </c>
      <c r="G148" s="79"/>
      <c r="H148" s="70"/>
      <c r="I148" s="79" t="str">
        <f>IF([1]Титульный!G44="","",[1]Титульный!G44)</f>
        <v>Байков Алексей Александрович</v>
      </c>
      <c r="J148" s="79"/>
      <c r="K148" s="79"/>
      <c r="L148" s="70"/>
      <c r="M148" s="71"/>
      <c r="N148" s="71"/>
      <c r="O148" s="72"/>
      <c r="P148" s="68"/>
      <c r="Q148" s="68"/>
      <c r="R148" s="69"/>
      <c r="S148" s="69"/>
    </row>
    <row r="149" spans="3:19" ht="12.75" x14ac:dyDescent="0.2">
      <c r="E149" s="73" t="s">
        <v>321</v>
      </c>
      <c r="F149" s="78" t="s">
        <v>322</v>
      </c>
      <c r="G149" s="78"/>
      <c r="H149" s="72"/>
      <c r="I149" s="78" t="s">
        <v>323</v>
      </c>
      <c r="J149" s="78"/>
      <c r="K149" s="78"/>
      <c r="L149" s="72"/>
      <c r="M149" s="78" t="s">
        <v>324</v>
      </c>
      <c r="N149" s="78"/>
      <c r="O149" s="24"/>
      <c r="P149" s="68"/>
      <c r="Q149" s="68"/>
      <c r="R149" s="69"/>
      <c r="S149" s="69"/>
    </row>
    <row r="150" spans="3:19" ht="12.75" x14ac:dyDescent="0.2">
      <c r="E150" s="73" t="s">
        <v>325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68"/>
      <c r="Q150" s="68"/>
      <c r="R150" s="69"/>
      <c r="S150" s="69"/>
    </row>
    <row r="151" spans="3:19" ht="12.75" x14ac:dyDescent="0.2">
      <c r="E151" s="73" t="s">
        <v>326</v>
      </c>
      <c r="F151" s="79" t="str">
        <f>IF([1]Титульный!G46="","",[1]Титульный!G46)</f>
        <v>(495) 637 3220</v>
      </c>
      <c r="G151" s="79"/>
      <c r="H151" s="79"/>
      <c r="I151" s="24"/>
      <c r="J151" s="73" t="s">
        <v>327</v>
      </c>
      <c r="K151" s="76"/>
      <c r="L151" s="24"/>
      <c r="M151" s="24"/>
      <c r="N151" s="24"/>
      <c r="O151" s="24"/>
      <c r="P151" s="68"/>
      <c r="Q151" s="68"/>
      <c r="R151" s="69"/>
      <c r="S151" s="69"/>
    </row>
    <row r="152" spans="3:19" ht="12.75" x14ac:dyDescent="0.2">
      <c r="E152" s="24" t="s">
        <v>328</v>
      </c>
      <c r="F152" s="80" t="s">
        <v>329</v>
      </c>
      <c r="G152" s="80"/>
      <c r="H152" s="80"/>
      <c r="I152" s="24"/>
      <c r="J152" s="75" t="s">
        <v>330</v>
      </c>
      <c r="K152" s="75"/>
      <c r="L152" s="24"/>
      <c r="M152" s="24"/>
      <c r="N152" s="24"/>
      <c r="O152" s="24"/>
      <c r="P152" s="68"/>
      <c r="Q152" s="68"/>
      <c r="R152" s="69"/>
      <c r="S152" s="69"/>
    </row>
    <row r="153" spans="3:19" x14ac:dyDescent="0.25"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9"/>
      <c r="S153" s="69"/>
    </row>
    <row r="154" spans="3:19" x14ac:dyDescent="0.25"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9"/>
      <c r="S154" s="69"/>
    </row>
    <row r="155" spans="3:19" x14ac:dyDescent="0.25"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9"/>
      <c r="S155" s="69"/>
    </row>
    <row r="156" spans="3:19" x14ac:dyDescent="0.25"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9"/>
      <c r="S156" s="69"/>
    </row>
    <row r="157" spans="3:19" x14ac:dyDescent="0.25"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9"/>
      <c r="S157" s="69"/>
    </row>
    <row r="158" spans="3:19" x14ac:dyDescent="0.25"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9"/>
      <c r="S158" s="69"/>
    </row>
    <row r="159" spans="3:19" x14ac:dyDescent="0.25"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  <c r="S159" s="69"/>
    </row>
    <row r="160" spans="3:19" x14ac:dyDescent="0.25"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9"/>
      <c r="S160" s="69"/>
    </row>
    <row r="161" spans="5:19" x14ac:dyDescent="0.25"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9"/>
      <c r="S161" s="69"/>
    </row>
    <row r="162" spans="5:19" x14ac:dyDescent="0.25"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9"/>
      <c r="S162" s="69"/>
    </row>
    <row r="163" spans="5:19" x14ac:dyDescent="0.25"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9"/>
      <c r="S163" s="69"/>
    </row>
    <row r="164" spans="5:19" x14ac:dyDescent="0.25"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9"/>
      <c r="S164" s="69"/>
    </row>
    <row r="165" spans="5:19" x14ac:dyDescent="0.25"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9"/>
      <c r="S165" s="69"/>
    </row>
    <row r="166" spans="5:19" x14ac:dyDescent="0.25"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9"/>
      <c r="S166" s="69"/>
    </row>
    <row r="167" spans="5:19" x14ac:dyDescent="0.25"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9"/>
      <c r="S167" s="69"/>
    </row>
    <row r="168" spans="5:19" x14ac:dyDescent="0.25"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9"/>
      <c r="S168" s="69"/>
    </row>
    <row r="169" spans="5:19" x14ac:dyDescent="0.25"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9"/>
      <c r="S169" s="69"/>
    </row>
    <row r="170" spans="5:19" x14ac:dyDescent="0.25"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9"/>
      <c r="S170" s="69"/>
    </row>
    <row r="171" spans="5:19" x14ac:dyDescent="0.25"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9"/>
      <c r="S171" s="69"/>
    </row>
    <row r="172" spans="5:19" x14ac:dyDescent="0.25"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9"/>
      <c r="S172" s="69"/>
    </row>
    <row r="173" spans="5:19" x14ac:dyDescent="0.25"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9"/>
      <c r="S173" s="69"/>
    </row>
    <row r="174" spans="5:19" x14ac:dyDescent="0.25"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9"/>
      <c r="S174" s="69"/>
    </row>
    <row r="175" spans="5:19" x14ac:dyDescent="0.25"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9"/>
      <c r="S175" s="69"/>
    </row>
    <row r="176" spans="5:19" x14ac:dyDescent="0.25"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9"/>
      <c r="S176" s="69"/>
    </row>
    <row r="177" spans="5:19" x14ac:dyDescent="0.25"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9"/>
      <c r="S177" s="69"/>
    </row>
    <row r="178" spans="5:19" x14ac:dyDescent="0.25"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</row>
    <row r="179" spans="5:19" x14ac:dyDescent="0.25"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5:19" x14ac:dyDescent="0.25"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5:19" x14ac:dyDescent="0.25"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</sheetData>
  <mergeCells count="18">
    <mergeCell ref="F148:G148"/>
    <mergeCell ref="I148:K148"/>
    <mergeCell ref="D8:E8"/>
    <mergeCell ref="D11:D12"/>
    <mergeCell ref="E11:E12"/>
    <mergeCell ref="F11:F12"/>
    <mergeCell ref="G11:G12"/>
    <mergeCell ref="H11:K11"/>
    <mergeCell ref="D14:K14"/>
    <mergeCell ref="D51:K51"/>
    <mergeCell ref="D88:K88"/>
    <mergeCell ref="D92:K92"/>
    <mergeCell ref="D125:K125"/>
    <mergeCell ref="F149:G149"/>
    <mergeCell ref="I149:K149"/>
    <mergeCell ref="M149:N149"/>
    <mergeCell ref="F151:H151"/>
    <mergeCell ref="F152:H152"/>
  </mergeCells>
  <dataValidations count="2">
    <dataValidation allowBlank="1" showInputMessage="1" promptTitle="Ввод" prompt="Для выбора организации необходимо два раза нажать левую клавишу мыши!" sqref="E25 E62"/>
    <dataValidation type="decimal" allowBlank="1" showErrorMessage="1" errorTitle="Ошибка" error="Допускается ввод только действительных чисел!" sqref="G27:K40 G89:K91 G93:K124 G52:K55 G23:K25 G79:K87 G20:K21 G64:K77 G42:K50 G15:K18 G126:K146 G57:K58 G60:K6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81"/>
  <sheetViews>
    <sheetView view="pageBreakPreview" topLeftCell="C7" zoomScale="75" zoomScaleNormal="100" zoomScaleSheetLayoutView="75" workbookViewId="0">
      <selection activeCell="M38" sqref="M38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idden="1" x14ac:dyDescent="0.25">
      <c r="S1" s="2"/>
      <c r="T1" s="2"/>
      <c r="U1" s="2"/>
      <c r="V1" s="2"/>
      <c r="Y1" s="2"/>
      <c r="AN1" s="2"/>
      <c r="AO1" s="2"/>
      <c r="AP1" s="2"/>
      <c r="BC1" s="2"/>
      <c r="BF1" s="2"/>
      <c r="BI1" s="2"/>
      <c r="BJ1" s="2"/>
      <c r="BX1" s="2"/>
      <c r="BY1" s="2"/>
    </row>
    <row r="2" spans="1:77" hidden="1" x14ac:dyDescent="0.25"/>
    <row r="3" spans="1:77" hidden="1" x14ac:dyDescent="0.25"/>
    <row r="4" spans="1:77" hidden="1" x14ac:dyDescent="0.2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idden="1" x14ac:dyDescent="0.2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idden="1" x14ac:dyDescent="0.25">
      <c r="A6" s="5"/>
    </row>
    <row r="7" spans="1:77" ht="12" customHeight="1" x14ac:dyDescent="0.25">
      <c r="A7" s="5"/>
      <c r="D7" s="6"/>
      <c r="E7" s="6"/>
      <c r="F7" s="6"/>
      <c r="G7" s="6"/>
      <c r="H7" s="6"/>
      <c r="I7" s="6"/>
      <c r="J7" s="6"/>
      <c r="K7" s="7"/>
      <c r="Q7" s="8"/>
    </row>
    <row r="8" spans="1:77" ht="22.5" customHeight="1" x14ac:dyDescent="0.25">
      <c r="A8" s="5"/>
      <c r="D8" s="81" t="s">
        <v>11</v>
      </c>
      <c r="E8" s="8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77" x14ac:dyDescent="0.25">
      <c r="A9" s="5"/>
      <c r="D9" s="10" t="str">
        <f>IF(org="","Не определено",org)</f>
        <v>ЗАО "Коттон Вэй"</v>
      </c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77" ht="12" customHeight="1" x14ac:dyDescent="0.25">
      <c r="D10" s="11"/>
      <c r="E10" s="11"/>
      <c r="F10" s="6"/>
      <c r="G10" s="6"/>
      <c r="H10" s="6"/>
      <c r="I10" s="6"/>
      <c r="K10" s="12" t="s">
        <v>12</v>
      </c>
    </row>
    <row r="11" spans="1:77" ht="15" customHeight="1" x14ac:dyDescent="0.25">
      <c r="C11" s="6"/>
      <c r="D11" s="82" t="s">
        <v>13</v>
      </c>
      <c r="E11" s="84" t="s">
        <v>14</v>
      </c>
      <c r="F11" s="84" t="s">
        <v>15</v>
      </c>
      <c r="G11" s="84" t="s">
        <v>16</v>
      </c>
      <c r="H11" s="84" t="s">
        <v>17</v>
      </c>
      <c r="I11" s="84"/>
      <c r="J11" s="84"/>
      <c r="K11" s="86"/>
      <c r="L11" s="13"/>
    </row>
    <row r="12" spans="1:77" ht="15" customHeight="1" x14ac:dyDescent="0.25">
      <c r="C12" s="6"/>
      <c r="D12" s="83"/>
      <c r="E12" s="85"/>
      <c r="F12" s="85"/>
      <c r="G12" s="85"/>
      <c r="H12" s="77" t="s">
        <v>18</v>
      </c>
      <c r="I12" s="77" t="s">
        <v>19</v>
      </c>
      <c r="J12" s="77" t="s">
        <v>20</v>
      </c>
      <c r="K12" s="15" t="s">
        <v>21</v>
      </c>
      <c r="L12" s="13"/>
    </row>
    <row r="13" spans="1:77" ht="12" customHeight="1" x14ac:dyDescent="0.25">
      <c r="D13" s="16">
        <v>0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</row>
    <row r="14" spans="1:77" s="17" customFormat="1" ht="15" customHeight="1" x14ac:dyDescent="0.25">
      <c r="C14" s="18"/>
      <c r="D14" s="87" t="s">
        <v>22</v>
      </c>
      <c r="E14" s="88"/>
      <c r="F14" s="88"/>
      <c r="G14" s="88"/>
      <c r="H14" s="88"/>
      <c r="I14" s="88"/>
      <c r="J14" s="88"/>
      <c r="K14" s="89"/>
      <c r="L14" s="19"/>
    </row>
    <row r="15" spans="1:77" s="17" customFormat="1" ht="15" customHeight="1" x14ac:dyDescent="0.2">
      <c r="C15" s="18"/>
      <c r="D15" s="20" t="s">
        <v>23</v>
      </c>
      <c r="E15" s="21" t="s">
        <v>24</v>
      </c>
      <c r="F15" s="22">
        <v>10</v>
      </c>
      <c r="G15" s="23">
        <f>SUM(H15:K15)</f>
        <v>11624.089000000002</v>
      </c>
      <c r="H15" s="23">
        <f>H16+H17+H20+H23</f>
        <v>9079.8100000000013</v>
      </c>
      <c r="I15" s="23">
        <f>I16+I17+I20+I23</f>
        <v>0</v>
      </c>
      <c r="J15" s="23">
        <f>J16+J17+J20+J23</f>
        <v>2544.279</v>
      </c>
      <c r="K15" s="23">
        <f>K16+K17+K20+K23</f>
        <v>0</v>
      </c>
      <c r="L15" s="19"/>
      <c r="M15" s="24"/>
      <c r="P15" s="25">
        <v>10</v>
      </c>
    </row>
    <row r="16" spans="1:77" s="17" customFormat="1" ht="15" customHeight="1" x14ac:dyDescent="0.2">
      <c r="C16" s="18"/>
      <c r="D16" s="20" t="s">
        <v>25</v>
      </c>
      <c r="E16" s="26" t="s">
        <v>26</v>
      </c>
      <c r="F16" s="22">
        <v>20</v>
      </c>
      <c r="G16" s="23">
        <f t="shared" ref="G16:G132" si="0">SUM(H16:K16)</f>
        <v>0</v>
      </c>
      <c r="H16" s="27"/>
      <c r="I16" s="27"/>
      <c r="J16" s="27"/>
      <c r="K16" s="27"/>
      <c r="L16" s="19"/>
      <c r="M16" s="24"/>
      <c r="P16" s="25">
        <v>20</v>
      </c>
    </row>
    <row r="17" spans="3:16" s="17" customFormat="1" ht="12.75" x14ac:dyDescent="0.2">
      <c r="C17" s="18"/>
      <c r="D17" s="20" t="s">
        <v>27</v>
      </c>
      <c r="E17" s="26" t="s">
        <v>28</v>
      </c>
      <c r="F17" s="22">
        <v>30</v>
      </c>
      <c r="G17" s="23">
        <f t="shared" si="0"/>
        <v>0</v>
      </c>
      <c r="H17" s="23">
        <f>SUM(H18:H19)</f>
        <v>0</v>
      </c>
      <c r="I17" s="23">
        <f>SUM(I18:I19)</f>
        <v>0</v>
      </c>
      <c r="J17" s="23">
        <f>SUM(J18:J19)</f>
        <v>0</v>
      </c>
      <c r="K17" s="23">
        <f>SUM(K18:K19)</f>
        <v>0</v>
      </c>
      <c r="L17" s="19"/>
      <c r="M17" s="24"/>
      <c r="P17" s="25">
        <v>30</v>
      </c>
    </row>
    <row r="18" spans="3:16" s="17" customFormat="1" ht="12.75" x14ac:dyDescent="0.2">
      <c r="C18" s="18"/>
      <c r="D18" s="28" t="s">
        <v>29</v>
      </c>
      <c r="E18" s="29"/>
      <c r="F18" s="30" t="s">
        <v>30</v>
      </c>
      <c r="G18" s="31"/>
      <c r="H18" s="31"/>
      <c r="I18" s="31"/>
      <c r="J18" s="31"/>
      <c r="K18" s="31"/>
      <c r="L18" s="19"/>
      <c r="M18" s="24"/>
      <c r="P18" s="25"/>
    </row>
    <row r="19" spans="3:16" s="17" customFormat="1" ht="12.75" x14ac:dyDescent="0.2">
      <c r="C19" s="18"/>
      <c r="D19" s="32"/>
      <c r="E19" s="33" t="s">
        <v>31</v>
      </c>
      <c r="F19" s="34"/>
      <c r="G19" s="34"/>
      <c r="H19" s="34"/>
      <c r="I19" s="34"/>
      <c r="J19" s="34"/>
      <c r="K19" s="35"/>
      <c r="L19" s="19"/>
      <c r="M19" s="24"/>
      <c r="P19" s="36"/>
    </row>
    <row r="20" spans="3:16" s="17" customFormat="1" ht="12.75" x14ac:dyDescent="0.2">
      <c r="C20" s="18"/>
      <c r="D20" s="20" t="s">
        <v>32</v>
      </c>
      <c r="E20" s="26" t="s">
        <v>33</v>
      </c>
      <c r="F20" s="22" t="s">
        <v>34</v>
      </c>
      <c r="G20" s="23">
        <f t="shared" si="0"/>
        <v>0</v>
      </c>
      <c r="H20" s="23">
        <f>SUM(H21:H22)</f>
        <v>0</v>
      </c>
      <c r="I20" s="23">
        <f>SUM(I21:I22)</f>
        <v>0</v>
      </c>
      <c r="J20" s="23">
        <f>SUM(J21:J22)</f>
        <v>0</v>
      </c>
      <c r="K20" s="23">
        <f>SUM(K21:K22)</f>
        <v>0</v>
      </c>
      <c r="L20" s="19"/>
      <c r="M20" s="24"/>
      <c r="P20" s="36"/>
    </row>
    <row r="21" spans="3:16" s="17" customFormat="1" ht="12.75" x14ac:dyDescent="0.2">
      <c r="C21" s="18"/>
      <c r="D21" s="28" t="s">
        <v>35</v>
      </c>
      <c r="E21" s="29"/>
      <c r="F21" s="30" t="s">
        <v>34</v>
      </c>
      <c r="G21" s="31"/>
      <c r="H21" s="31"/>
      <c r="I21" s="31"/>
      <c r="J21" s="31"/>
      <c r="K21" s="31"/>
      <c r="L21" s="19"/>
      <c r="M21" s="24"/>
      <c r="P21" s="25"/>
    </row>
    <row r="22" spans="3:16" s="17" customFormat="1" ht="12.75" x14ac:dyDescent="0.2">
      <c r="C22" s="18"/>
      <c r="D22" s="32"/>
      <c r="E22" s="33" t="s">
        <v>31</v>
      </c>
      <c r="F22" s="34"/>
      <c r="G22" s="34"/>
      <c r="H22" s="34"/>
      <c r="I22" s="34"/>
      <c r="J22" s="34"/>
      <c r="K22" s="35"/>
      <c r="L22" s="19"/>
      <c r="M22" s="24"/>
      <c r="P22" s="36"/>
    </row>
    <row r="23" spans="3:16" s="17" customFormat="1" ht="12.75" x14ac:dyDescent="0.2">
      <c r="C23" s="18"/>
      <c r="D23" s="20" t="s">
        <v>36</v>
      </c>
      <c r="E23" s="26" t="s">
        <v>37</v>
      </c>
      <c r="F23" s="22" t="s">
        <v>38</v>
      </c>
      <c r="G23" s="23">
        <f t="shared" si="0"/>
        <v>11624.089000000002</v>
      </c>
      <c r="H23" s="23">
        <f>SUM(H24:H26)</f>
        <v>9079.8100000000013</v>
      </c>
      <c r="I23" s="23">
        <f>SUM(I24:I26)</f>
        <v>0</v>
      </c>
      <c r="J23" s="23">
        <f>SUM(J24:J26)</f>
        <v>2544.279</v>
      </c>
      <c r="K23" s="23">
        <f>SUM(K24:K26)</f>
        <v>0</v>
      </c>
      <c r="L23" s="19"/>
      <c r="M23" s="24"/>
      <c r="P23" s="25">
        <v>40</v>
      </c>
    </row>
    <row r="24" spans="3:16" s="17" customFormat="1" ht="12.75" x14ac:dyDescent="0.2">
      <c r="C24" s="18"/>
      <c r="D24" s="28" t="s">
        <v>39</v>
      </c>
      <c r="E24" s="29"/>
      <c r="F24" s="30" t="s">
        <v>38</v>
      </c>
      <c r="G24" s="31"/>
      <c r="H24" s="31"/>
      <c r="I24" s="31"/>
      <c r="J24" s="31"/>
      <c r="K24" s="31"/>
      <c r="L24" s="19"/>
      <c r="M24" s="24"/>
      <c r="P24" s="25"/>
    </row>
    <row r="25" spans="3:16" s="17" customFormat="1" ht="15" x14ac:dyDescent="0.25">
      <c r="C25" s="37" t="s">
        <v>40</v>
      </c>
      <c r="D25" s="38" t="s">
        <v>41</v>
      </c>
      <c r="E25" s="39" t="s">
        <v>42</v>
      </c>
      <c r="F25" s="40">
        <v>431</v>
      </c>
      <c r="G25" s="41">
        <f>SUM(H25:K25)</f>
        <v>11624.089000000002</v>
      </c>
      <c r="H25" s="42">
        <f>июль!H25+август!H25+сентябрь!H25+октябрь!H25+ноябрь!H25+декабрь!H25</f>
        <v>9079.8100000000013</v>
      </c>
      <c r="I25" s="42">
        <v>0</v>
      </c>
      <c r="J25" s="42">
        <f>июль!J25+август!J25+сентябрь!J25+октябрь!J25+ноябрь!J25+декабрь!J25</f>
        <v>2544.279</v>
      </c>
      <c r="K25" s="42">
        <v>0</v>
      </c>
      <c r="L25" s="19"/>
      <c r="M25" s="43" t="s">
        <v>43</v>
      </c>
      <c r="N25" s="44" t="s">
        <v>44</v>
      </c>
      <c r="O25" s="44" t="s">
        <v>45</v>
      </c>
    </row>
    <row r="26" spans="3:16" s="17" customFormat="1" ht="12.75" x14ac:dyDescent="0.2">
      <c r="C26" s="18"/>
      <c r="D26" s="32"/>
      <c r="E26" s="33" t="s">
        <v>31</v>
      </c>
      <c r="F26" s="34"/>
      <c r="G26" s="34"/>
      <c r="H26" s="34"/>
      <c r="I26" s="34"/>
      <c r="J26" s="34"/>
      <c r="K26" s="35"/>
      <c r="L26" s="19"/>
      <c r="M26" s="24"/>
      <c r="P26" s="25"/>
    </row>
    <row r="27" spans="3:16" s="17" customFormat="1" ht="12.75" x14ac:dyDescent="0.2">
      <c r="C27" s="18"/>
      <c r="D27" s="20" t="s">
        <v>46</v>
      </c>
      <c r="E27" s="21" t="s">
        <v>47</v>
      </c>
      <c r="F27" s="22" t="s">
        <v>48</v>
      </c>
      <c r="G27" s="23">
        <f t="shared" si="0"/>
        <v>19487.842000000004</v>
      </c>
      <c r="H27" s="23">
        <f>H29+H30+H31</f>
        <v>0</v>
      </c>
      <c r="I27" s="23">
        <f>I28+I30+I31</f>
        <v>0</v>
      </c>
      <c r="J27" s="23">
        <f>J28+J29+J31</f>
        <v>9079.8100000000013</v>
      </c>
      <c r="K27" s="23">
        <f>K28+K29+K30</f>
        <v>10408.032000000001</v>
      </c>
      <c r="L27" s="19"/>
      <c r="M27" s="24"/>
      <c r="P27" s="25">
        <v>50</v>
      </c>
    </row>
    <row r="28" spans="3:16" s="17" customFormat="1" ht="12.75" x14ac:dyDescent="0.2">
      <c r="C28" s="18"/>
      <c r="D28" s="20" t="s">
        <v>49</v>
      </c>
      <c r="E28" s="26" t="s">
        <v>18</v>
      </c>
      <c r="F28" s="22" t="s">
        <v>50</v>
      </c>
      <c r="G28" s="23">
        <f t="shared" si="0"/>
        <v>9079.8100000000013</v>
      </c>
      <c r="H28" s="45"/>
      <c r="I28" s="27"/>
      <c r="J28" s="27">
        <f>H25</f>
        <v>9079.8100000000013</v>
      </c>
      <c r="K28" s="27"/>
      <c r="L28" s="19"/>
      <c r="M28" s="24"/>
      <c r="P28" s="25">
        <v>60</v>
      </c>
    </row>
    <row r="29" spans="3:16" s="17" customFormat="1" ht="12.75" x14ac:dyDescent="0.2">
      <c r="C29" s="18"/>
      <c r="D29" s="20" t="s">
        <v>51</v>
      </c>
      <c r="E29" s="26" t="s">
        <v>19</v>
      </c>
      <c r="F29" s="22" t="s">
        <v>52</v>
      </c>
      <c r="G29" s="23">
        <f t="shared" si="0"/>
        <v>0</v>
      </c>
      <c r="H29" s="27"/>
      <c r="I29" s="45"/>
      <c r="J29" s="27"/>
      <c r="K29" s="27"/>
      <c r="L29" s="19"/>
      <c r="M29" s="24"/>
      <c r="P29" s="25">
        <v>70</v>
      </c>
    </row>
    <row r="30" spans="3:16" s="17" customFormat="1" ht="12.75" x14ac:dyDescent="0.2">
      <c r="C30" s="18"/>
      <c r="D30" s="20" t="s">
        <v>53</v>
      </c>
      <c r="E30" s="26" t="s">
        <v>20</v>
      </c>
      <c r="F30" s="22" t="s">
        <v>54</v>
      </c>
      <c r="G30" s="23">
        <f t="shared" si="0"/>
        <v>10408.032000000001</v>
      </c>
      <c r="H30" s="27"/>
      <c r="I30" s="27"/>
      <c r="J30" s="45"/>
      <c r="K30" s="27">
        <f>H25+J25-J36-J46</f>
        <v>10408.032000000001</v>
      </c>
      <c r="L30" s="19"/>
      <c r="M30" s="24"/>
      <c r="P30" s="25">
        <v>80</v>
      </c>
    </row>
    <row r="31" spans="3:16" s="17" customFormat="1" ht="12.75" x14ac:dyDescent="0.2">
      <c r="C31" s="18"/>
      <c r="D31" s="20" t="s">
        <v>55</v>
      </c>
      <c r="E31" s="26" t="s">
        <v>56</v>
      </c>
      <c r="F31" s="22" t="s">
        <v>57</v>
      </c>
      <c r="G31" s="23">
        <f t="shared" si="0"/>
        <v>0</v>
      </c>
      <c r="H31" s="27"/>
      <c r="I31" s="27"/>
      <c r="J31" s="27"/>
      <c r="K31" s="45"/>
      <c r="L31" s="19"/>
      <c r="M31" s="24"/>
      <c r="P31" s="25">
        <v>90</v>
      </c>
    </row>
    <row r="32" spans="3:16" s="17" customFormat="1" ht="12.75" x14ac:dyDescent="0.2">
      <c r="C32" s="18"/>
      <c r="D32" s="20" t="s">
        <v>58</v>
      </c>
      <c r="E32" s="46" t="s">
        <v>59</v>
      </c>
      <c r="F32" s="22" t="s">
        <v>60</v>
      </c>
      <c r="G32" s="23">
        <f t="shared" si="0"/>
        <v>0</v>
      </c>
      <c r="H32" s="27"/>
      <c r="I32" s="27"/>
      <c r="J32" s="27"/>
      <c r="K32" s="27"/>
      <c r="L32" s="19"/>
      <c r="M32" s="24"/>
      <c r="P32" s="25"/>
    </row>
    <row r="33" spans="3:16" s="17" customFormat="1" ht="12.75" x14ac:dyDescent="0.2">
      <c r="C33" s="18"/>
      <c r="D33" s="20" t="s">
        <v>61</v>
      </c>
      <c r="E33" s="21" t="s">
        <v>62</v>
      </c>
      <c r="F33" s="47" t="s">
        <v>63</v>
      </c>
      <c r="G33" s="23">
        <f t="shared" si="0"/>
        <v>11387.689</v>
      </c>
      <c r="H33" s="23">
        <f>H34+H36+H39+H42</f>
        <v>0</v>
      </c>
      <c r="I33" s="23">
        <f>I34+I36+I39+I42</f>
        <v>0</v>
      </c>
      <c r="J33" s="23">
        <f>J34+J36+J39+J42</f>
        <v>1216.057</v>
      </c>
      <c r="K33" s="23">
        <f>K34+K36+K39+K42</f>
        <v>10171.632</v>
      </c>
      <c r="L33" s="19"/>
      <c r="M33" s="24"/>
      <c r="P33" s="25">
        <v>100</v>
      </c>
    </row>
    <row r="34" spans="3:16" s="17" customFormat="1" ht="22.5" x14ac:dyDescent="0.2">
      <c r="C34" s="18"/>
      <c r="D34" s="20" t="s">
        <v>64</v>
      </c>
      <c r="E34" s="26" t="s">
        <v>65</v>
      </c>
      <c r="F34" s="22" t="s">
        <v>66</v>
      </c>
      <c r="G34" s="23">
        <f t="shared" si="0"/>
        <v>0</v>
      </c>
      <c r="H34" s="27"/>
      <c r="I34" s="27"/>
      <c r="J34" s="27"/>
      <c r="K34" s="27"/>
      <c r="L34" s="19"/>
      <c r="M34" s="24"/>
      <c r="P34" s="25"/>
    </row>
    <row r="35" spans="3:16" s="17" customFormat="1" ht="12.75" x14ac:dyDescent="0.2">
      <c r="C35" s="18"/>
      <c r="D35" s="20" t="s">
        <v>67</v>
      </c>
      <c r="E35" s="48" t="s">
        <v>68</v>
      </c>
      <c r="F35" s="22" t="s">
        <v>69</v>
      </c>
      <c r="G35" s="23">
        <f t="shared" si="0"/>
        <v>0</v>
      </c>
      <c r="H35" s="27"/>
      <c r="I35" s="27"/>
      <c r="J35" s="27"/>
      <c r="K35" s="27"/>
      <c r="L35" s="19"/>
      <c r="M35" s="24"/>
      <c r="P35" s="25"/>
    </row>
    <row r="36" spans="3:16" s="17" customFormat="1" ht="12.75" x14ac:dyDescent="0.2">
      <c r="C36" s="18"/>
      <c r="D36" s="20" t="s">
        <v>70</v>
      </c>
      <c r="E36" s="26" t="s">
        <v>71</v>
      </c>
      <c r="F36" s="22" t="s">
        <v>72</v>
      </c>
      <c r="G36" s="23">
        <f t="shared" si="0"/>
        <v>11387.689</v>
      </c>
      <c r="H36" s="27">
        <v>0</v>
      </c>
      <c r="I36" s="27">
        <v>0</v>
      </c>
      <c r="J36" s="42">
        <f>июль!J36+август!J36+сентябрь!J36+октябрь!J36+ноябрь!J36+декабрь!J36</f>
        <v>1216.057</v>
      </c>
      <c r="K36" s="42">
        <f>июль!K36+август!K36+сентябрь!K36+октябрь!K36+ноябрь!K36+декабрь!K36</f>
        <v>10171.632</v>
      </c>
      <c r="L36" s="19"/>
      <c r="M36" s="24"/>
      <c r="P36" s="25"/>
    </row>
    <row r="37" spans="3:16" s="17" customFormat="1" ht="12.75" x14ac:dyDescent="0.2">
      <c r="C37" s="18"/>
      <c r="D37" s="20" t="s">
        <v>73</v>
      </c>
      <c r="E37" s="48" t="s">
        <v>74</v>
      </c>
      <c r="F37" s="22" t="s">
        <v>75</v>
      </c>
      <c r="G37" s="23">
        <f t="shared" si="0"/>
        <v>0</v>
      </c>
      <c r="H37" s="27"/>
      <c r="I37" s="27"/>
      <c r="J37" s="27"/>
      <c r="K37" s="27"/>
      <c r="L37" s="19"/>
      <c r="M37" s="24"/>
      <c r="P37" s="25"/>
    </row>
    <row r="38" spans="3:16" s="17" customFormat="1" ht="12.75" x14ac:dyDescent="0.2">
      <c r="C38" s="18"/>
      <c r="D38" s="20" t="s">
        <v>76</v>
      </c>
      <c r="E38" s="49" t="s">
        <v>68</v>
      </c>
      <c r="F38" s="22" t="s">
        <v>77</v>
      </c>
      <c r="G38" s="23">
        <f t="shared" si="0"/>
        <v>0</v>
      </c>
      <c r="H38" s="27"/>
      <c r="I38" s="27"/>
      <c r="J38" s="27"/>
      <c r="K38" s="27"/>
      <c r="L38" s="19"/>
      <c r="M38" s="24"/>
      <c r="P38" s="25"/>
    </row>
    <row r="39" spans="3:16" s="17" customFormat="1" ht="12.75" x14ac:dyDescent="0.2">
      <c r="C39" s="18"/>
      <c r="D39" s="20" t="s">
        <v>78</v>
      </c>
      <c r="E39" s="26" t="s">
        <v>79</v>
      </c>
      <c r="F39" s="22" t="s">
        <v>80</v>
      </c>
      <c r="G39" s="23">
        <f t="shared" si="0"/>
        <v>0</v>
      </c>
      <c r="H39" s="23">
        <f>SUM(H40:H41)</f>
        <v>0</v>
      </c>
      <c r="I39" s="23">
        <f>SUM(I40:I41)</f>
        <v>0</v>
      </c>
      <c r="J39" s="23">
        <f>SUM(J40:J41)</f>
        <v>0</v>
      </c>
      <c r="K39" s="23">
        <f>SUM(K40:K41)</f>
        <v>0</v>
      </c>
      <c r="L39" s="19"/>
      <c r="M39" s="24"/>
      <c r="P39" s="25"/>
    </row>
    <row r="40" spans="3:16" s="17" customFormat="1" ht="12.75" x14ac:dyDescent="0.2">
      <c r="C40" s="18"/>
      <c r="D40" s="28" t="s">
        <v>81</v>
      </c>
      <c r="E40" s="29"/>
      <c r="F40" s="30" t="s">
        <v>80</v>
      </c>
      <c r="G40" s="31"/>
      <c r="H40" s="31"/>
      <c r="I40" s="31"/>
      <c r="J40" s="31"/>
      <c r="K40" s="31"/>
      <c r="L40" s="19"/>
      <c r="M40" s="24"/>
      <c r="P40" s="25"/>
    </row>
    <row r="41" spans="3:16" s="17" customFormat="1" ht="12.75" x14ac:dyDescent="0.2">
      <c r="C41" s="18"/>
      <c r="D41" s="50"/>
      <c r="E41" s="33" t="s">
        <v>31</v>
      </c>
      <c r="F41" s="34"/>
      <c r="G41" s="34"/>
      <c r="H41" s="34"/>
      <c r="I41" s="34"/>
      <c r="J41" s="34"/>
      <c r="K41" s="35"/>
      <c r="L41" s="19"/>
      <c r="M41" s="24"/>
      <c r="P41" s="25"/>
    </row>
    <row r="42" spans="3:16" s="17" customFormat="1" ht="12.75" x14ac:dyDescent="0.2">
      <c r="C42" s="18"/>
      <c r="D42" s="20" t="s">
        <v>82</v>
      </c>
      <c r="E42" s="51" t="s">
        <v>83</v>
      </c>
      <c r="F42" s="22" t="s">
        <v>84</v>
      </c>
      <c r="G42" s="23">
        <f t="shared" si="0"/>
        <v>0</v>
      </c>
      <c r="H42" s="27"/>
      <c r="I42" s="27"/>
      <c r="J42" s="27"/>
      <c r="K42" s="27"/>
      <c r="L42" s="19"/>
      <c r="M42" s="24"/>
      <c r="P42" s="25">
        <v>120</v>
      </c>
    </row>
    <row r="43" spans="3:16" s="17" customFormat="1" ht="12.75" x14ac:dyDescent="0.2">
      <c r="C43" s="18"/>
      <c r="D43" s="20" t="s">
        <v>85</v>
      </c>
      <c r="E43" s="21" t="s">
        <v>86</v>
      </c>
      <c r="F43" s="22" t="s">
        <v>87</v>
      </c>
      <c r="G43" s="23">
        <f t="shared" si="0"/>
        <v>19487.842000000004</v>
      </c>
      <c r="H43" s="27">
        <f>J28</f>
        <v>9079.8100000000013</v>
      </c>
      <c r="I43" s="27"/>
      <c r="J43" s="27">
        <f>K30</f>
        <v>10408.032000000001</v>
      </c>
      <c r="K43" s="27"/>
      <c r="L43" s="19"/>
      <c r="M43" s="24"/>
      <c r="P43" s="25">
        <v>150</v>
      </c>
    </row>
    <row r="44" spans="3:16" s="17" customFormat="1" ht="12.75" x14ac:dyDescent="0.2">
      <c r="C44" s="18"/>
      <c r="D44" s="20" t="s">
        <v>88</v>
      </c>
      <c r="E44" s="21" t="s">
        <v>89</v>
      </c>
      <c r="F44" s="22" t="s">
        <v>90</v>
      </c>
      <c r="G44" s="23">
        <f t="shared" si="0"/>
        <v>0</v>
      </c>
      <c r="H44" s="27"/>
      <c r="I44" s="27"/>
      <c r="J44" s="27"/>
      <c r="K44" s="27"/>
      <c r="L44" s="19"/>
      <c r="M44" s="24"/>
      <c r="P44" s="25">
        <v>160</v>
      </c>
    </row>
    <row r="45" spans="3:16" s="17" customFormat="1" ht="12.75" x14ac:dyDescent="0.2">
      <c r="C45" s="18"/>
      <c r="D45" s="20" t="s">
        <v>91</v>
      </c>
      <c r="E45" s="21" t="s">
        <v>92</v>
      </c>
      <c r="F45" s="22" t="s">
        <v>93</v>
      </c>
      <c r="G45" s="23">
        <f t="shared" si="0"/>
        <v>0</v>
      </c>
      <c r="H45" s="27"/>
      <c r="I45" s="27"/>
      <c r="J45" s="27"/>
      <c r="K45" s="27"/>
      <c r="L45" s="19"/>
      <c r="M45" s="24"/>
      <c r="P45" s="25">
        <v>180</v>
      </c>
    </row>
    <row r="46" spans="3:16" s="17" customFormat="1" ht="12.75" x14ac:dyDescent="0.2">
      <c r="C46" s="18"/>
      <c r="D46" s="20" t="s">
        <v>94</v>
      </c>
      <c r="E46" s="21" t="s">
        <v>95</v>
      </c>
      <c r="F46" s="22" t="s">
        <v>96</v>
      </c>
      <c r="G46" s="23">
        <f t="shared" si="0"/>
        <v>236.40000000000146</v>
      </c>
      <c r="H46" s="27"/>
      <c r="I46" s="27"/>
      <c r="J46" s="27"/>
      <c r="K46" s="27">
        <f>G25-G36</f>
        <v>236.40000000000146</v>
      </c>
      <c r="L46" s="19"/>
      <c r="M46" s="24"/>
      <c r="P46" s="25">
        <v>190</v>
      </c>
    </row>
    <row r="47" spans="3:16" s="17" customFormat="1" ht="12.75" x14ac:dyDescent="0.2">
      <c r="C47" s="18"/>
      <c r="D47" s="20" t="s">
        <v>97</v>
      </c>
      <c r="E47" s="26" t="s">
        <v>98</v>
      </c>
      <c r="F47" s="22" t="s">
        <v>99</v>
      </c>
      <c r="G47" s="23">
        <f t="shared" si="0"/>
        <v>0</v>
      </c>
      <c r="H47" s="27"/>
      <c r="I47" s="27"/>
      <c r="J47" s="27">
        <v>0</v>
      </c>
      <c r="K47" s="27">
        <v>0</v>
      </c>
      <c r="L47" s="19"/>
      <c r="M47" s="24"/>
      <c r="P47" s="25">
        <v>200</v>
      </c>
    </row>
    <row r="48" spans="3:16" s="17" customFormat="1" ht="12.75" x14ac:dyDescent="0.2">
      <c r="C48" s="18"/>
      <c r="D48" s="20" t="s">
        <v>100</v>
      </c>
      <c r="E48" s="21" t="s">
        <v>101</v>
      </c>
      <c r="F48" s="22" t="s">
        <v>102</v>
      </c>
      <c r="G48" s="23">
        <f t="shared" si="0"/>
        <v>545</v>
      </c>
      <c r="H48" s="27"/>
      <c r="I48" s="27"/>
      <c r="J48" s="42">
        <f>июль!J48+август!J48+сентябрь!J48+октябрь!J48+ноябрь!J48+декабрь!J48</f>
        <v>0</v>
      </c>
      <c r="K48" s="42">
        <f>июль!K48+август!K48+сентябрь!K48+октябрь!K48+ноябрь!K48+декабрь!K48</f>
        <v>545</v>
      </c>
      <c r="L48" s="19"/>
      <c r="M48" s="24"/>
      <c r="P48" s="36"/>
    </row>
    <row r="49" spans="3:16" s="17" customFormat="1" ht="22.5" x14ac:dyDescent="0.2">
      <c r="C49" s="18"/>
      <c r="D49" s="20" t="s">
        <v>103</v>
      </c>
      <c r="E49" s="46" t="s">
        <v>104</v>
      </c>
      <c r="F49" s="22" t="s">
        <v>105</v>
      </c>
      <c r="G49" s="23">
        <f t="shared" si="0"/>
        <v>-308.59999999999854</v>
      </c>
      <c r="H49" s="23">
        <f>H46-H48</f>
        <v>0</v>
      </c>
      <c r="I49" s="23">
        <f>I46-I48</f>
        <v>0</v>
      </c>
      <c r="J49" s="23">
        <f>J46-J48</f>
        <v>0</v>
      </c>
      <c r="K49" s="23">
        <f>K46-K48</f>
        <v>-308.59999999999854</v>
      </c>
      <c r="L49" s="19"/>
      <c r="M49" s="24"/>
      <c r="P49" s="36"/>
    </row>
    <row r="50" spans="3:16" s="17" customFormat="1" ht="12.75" x14ac:dyDescent="0.2">
      <c r="C50" s="18"/>
      <c r="D50" s="20" t="s">
        <v>106</v>
      </c>
      <c r="E50" s="21" t="s">
        <v>107</v>
      </c>
      <c r="F50" s="22" t="s">
        <v>108</v>
      </c>
      <c r="G50" s="23">
        <f t="shared" si="0"/>
        <v>0</v>
      </c>
      <c r="H50" s="23">
        <f>(H15+H27+H32)-(H33+H43+H44+H45+H46)</f>
        <v>0</v>
      </c>
      <c r="I50" s="23">
        <f>(I15+I27+I32)-(I33+I43+I44+I45+I46)</f>
        <v>0</v>
      </c>
      <c r="J50" s="23">
        <f>(J15+J27+J32)-(J33+J43+J44+J45+J46)</f>
        <v>0</v>
      </c>
      <c r="K50" s="23">
        <f>(K15+K27+K32)-(K33+K43+K44+K45+K46)</f>
        <v>0</v>
      </c>
      <c r="L50" s="19"/>
      <c r="M50" s="24"/>
      <c r="P50" s="25">
        <v>210</v>
      </c>
    </row>
    <row r="51" spans="3:16" s="17" customFormat="1" ht="12.75" x14ac:dyDescent="0.2">
      <c r="C51" s="18"/>
      <c r="D51" s="87" t="s">
        <v>109</v>
      </c>
      <c r="E51" s="88"/>
      <c r="F51" s="88"/>
      <c r="G51" s="88"/>
      <c r="H51" s="88"/>
      <c r="I51" s="88"/>
      <c r="J51" s="88"/>
      <c r="K51" s="89"/>
      <c r="L51" s="19"/>
      <c r="M51" s="24"/>
      <c r="P51" s="36"/>
    </row>
    <row r="52" spans="3:16" s="17" customFormat="1" ht="12.75" x14ac:dyDescent="0.2">
      <c r="C52" s="18"/>
      <c r="D52" s="20" t="s">
        <v>110</v>
      </c>
      <c r="E52" s="21" t="s">
        <v>24</v>
      </c>
      <c r="F52" s="22" t="s">
        <v>111</v>
      </c>
      <c r="G52" s="23">
        <f t="shared" si="0"/>
        <v>4.6176666666666666</v>
      </c>
      <c r="H52" s="23">
        <f>H53+H54+H57+H60</f>
        <v>1.1082399999999999</v>
      </c>
      <c r="I52" s="23">
        <f>I53+I54+I57+I60</f>
        <v>0</v>
      </c>
      <c r="J52" s="23">
        <f>J53+J54+J57+J60</f>
        <v>3.5094266666666667</v>
      </c>
      <c r="K52" s="23">
        <f>K53+K54+K57+K60</f>
        <v>0</v>
      </c>
      <c r="L52" s="19"/>
      <c r="M52" s="24"/>
      <c r="P52" s="25">
        <v>300</v>
      </c>
    </row>
    <row r="53" spans="3:16" s="17" customFormat="1" ht="12.75" x14ac:dyDescent="0.2">
      <c r="C53" s="18"/>
      <c r="D53" s="20" t="s">
        <v>112</v>
      </c>
      <c r="E53" s="26" t="s">
        <v>26</v>
      </c>
      <c r="F53" s="22" t="s">
        <v>113</v>
      </c>
      <c r="G53" s="23">
        <f t="shared" si="0"/>
        <v>0</v>
      </c>
      <c r="H53" s="27"/>
      <c r="I53" s="27"/>
      <c r="J53" s="27"/>
      <c r="K53" s="27"/>
      <c r="L53" s="19"/>
      <c r="M53" s="24"/>
      <c r="P53" s="25">
        <v>310</v>
      </c>
    </row>
    <row r="54" spans="3:16" s="17" customFormat="1" ht="12.75" x14ac:dyDescent="0.2">
      <c r="C54" s="18"/>
      <c r="D54" s="20" t="s">
        <v>114</v>
      </c>
      <c r="E54" s="26" t="s">
        <v>28</v>
      </c>
      <c r="F54" s="22" t="s">
        <v>115</v>
      </c>
      <c r="G54" s="23">
        <f t="shared" si="0"/>
        <v>0</v>
      </c>
      <c r="H54" s="23">
        <f>SUM(H55:H56)</f>
        <v>0</v>
      </c>
      <c r="I54" s="23">
        <f>SUM(I55:I56)</f>
        <v>0</v>
      </c>
      <c r="J54" s="23">
        <f>SUM(J55:J56)</f>
        <v>0</v>
      </c>
      <c r="K54" s="23">
        <f>SUM(K55:K56)</f>
        <v>0</v>
      </c>
      <c r="L54" s="19"/>
      <c r="M54" s="24"/>
      <c r="P54" s="25">
        <v>320</v>
      </c>
    </row>
    <row r="55" spans="3:16" s="17" customFormat="1" ht="12.75" x14ac:dyDescent="0.2">
      <c r="C55" s="18"/>
      <c r="D55" s="28" t="s">
        <v>116</v>
      </c>
      <c r="E55" s="29"/>
      <c r="F55" s="30" t="s">
        <v>115</v>
      </c>
      <c r="G55" s="31"/>
      <c r="H55" s="31"/>
      <c r="I55" s="31"/>
      <c r="J55" s="31"/>
      <c r="K55" s="31"/>
      <c r="L55" s="19"/>
      <c r="M55" s="24"/>
      <c r="P55" s="25"/>
    </row>
    <row r="56" spans="3:16" s="17" customFormat="1" ht="12.75" x14ac:dyDescent="0.2">
      <c r="C56" s="18"/>
      <c r="D56" s="32"/>
      <c r="E56" s="33" t="s">
        <v>31</v>
      </c>
      <c r="F56" s="34"/>
      <c r="G56" s="34"/>
      <c r="H56" s="34"/>
      <c r="I56" s="34"/>
      <c r="J56" s="34"/>
      <c r="K56" s="35"/>
      <c r="L56" s="19"/>
      <c r="M56" s="24"/>
      <c r="P56" s="25"/>
    </row>
    <row r="57" spans="3:16" s="17" customFormat="1" ht="12.75" x14ac:dyDescent="0.2">
      <c r="C57" s="18"/>
      <c r="D57" s="20" t="s">
        <v>117</v>
      </c>
      <c r="E57" s="26" t="s">
        <v>33</v>
      </c>
      <c r="F57" s="22" t="s">
        <v>118</v>
      </c>
      <c r="G57" s="23">
        <f t="shared" si="0"/>
        <v>0</v>
      </c>
      <c r="H57" s="23">
        <f>SUM(H58:H59)</f>
        <v>0</v>
      </c>
      <c r="I57" s="23">
        <f>SUM(I58:I59)</f>
        <v>0</v>
      </c>
      <c r="J57" s="23">
        <f>SUM(J58:J59)</f>
        <v>0</v>
      </c>
      <c r="K57" s="23">
        <f>SUM(K58:K59)</f>
        <v>0</v>
      </c>
      <c r="L57" s="19"/>
      <c r="M57" s="24"/>
      <c r="P57" s="25"/>
    </row>
    <row r="58" spans="3:16" s="17" customFormat="1" ht="12.75" x14ac:dyDescent="0.2">
      <c r="C58" s="18"/>
      <c r="D58" s="28" t="s">
        <v>119</v>
      </c>
      <c r="E58" s="29"/>
      <c r="F58" s="30" t="s">
        <v>118</v>
      </c>
      <c r="G58" s="31"/>
      <c r="H58" s="31"/>
      <c r="I58" s="31"/>
      <c r="J58" s="31"/>
      <c r="K58" s="31"/>
      <c r="L58" s="19"/>
      <c r="M58" s="24"/>
      <c r="P58" s="25"/>
    </row>
    <row r="59" spans="3:16" s="17" customFormat="1" ht="12.75" x14ac:dyDescent="0.2">
      <c r="C59" s="18"/>
      <c r="D59" s="32"/>
      <c r="E59" s="33" t="s">
        <v>31</v>
      </c>
      <c r="F59" s="34"/>
      <c r="G59" s="34"/>
      <c r="H59" s="34"/>
      <c r="I59" s="34"/>
      <c r="J59" s="34"/>
      <c r="K59" s="35"/>
      <c r="L59" s="19"/>
      <c r="M59" s="24"/>
      <c r="P59" s="25"/>
    </row>
    <row r="60" spans="3:16" s="17" customFormat="1" ht="12.75" x14ac:dyDescent="0.2">
      <c r="C60" s="18"/>
      <c r="D60" s="20" t="s">
        <v>120</v>
      </c>
      <c r="E60" s="26" t="s">
        <v>37</v>
      </c>
      <c r="F60" s="22" t="s">
        <v>121</v>
      </c>
      <c r="G60" s="23">
        <f t="shared" si="0"/>
        <v>4.6176666666666666</v>
      </c>
      <c r="H60" s="23">
        <f>SUM(H61:H63)</f>
        <v>1.1082399999999999</v>
      </c>
      <c r="I60" s="23">
        <f>SUM(I61:I63)</f>
        <v>0</v>
      </c>
      <c r="J60" s="23">
        <f>SUM(J61:J63)</f>
        <v>3.5094266666666667</v>
      </c>
      <c r="K60" s="23">
        <f>SUM(K61:K63)</f>
        <v>0</v>
      </c>
      <c r="L60" s="19"/>
      <c r="M60" s="24"/>
      <c r="P60" s="25">
        <v>330</v>
      </c>
    </row>
    <row r="61" spans="3:16" s="17" customFormat="1" ht="12.75" x14ac:dyDescent="0.2">
      <c r="C61" s="18"/>
      <c r="D61" s="28" t="s">
        <v>122</v>
      </c>
      <c r="E61" s="29"/>
      <c r="F61" s="30" t="s">
        <v>121</v>
      </c>
      <c r="G61" s="31"/>
      <c r="H61" s="31"/>
      <c r="I61" s="31"/>
      <c r="J61" s="31"/>
      <c r="K61" s="31"/>
      <c r="L61" s="19"/>
      <c r="M61" s="24"/>
      <c r="P61" s="25"/>
    </row>
    <row r="62" spans="3:16" s="17" customFormat="1" ht="15" x14ac:dyDescent="0.25">
      <c r="C62" s="37" t="s">
        <v>40</v>
      </c>
      <c r="D62" s="38" t="s">
        <v>123</v>
      </c>
      <c r="E62" s="39" t="s">
        <v>42</v>
      </c>
      <c r="F62" s="40">
        <v>1461</v>
      </c>
      <c r="G62" s="41">
        <f>SUM(H62:K62)</f>
        <v>4.6176666666666666</v>
      </c>
      <c r="H62" s="42">
        <f>(июль!H62+август!H62+сентябрь!H62+октябрь!H62+ноябрь!H62+декабрь!H62)/6</f>
        <v>1.1082399999999999</v>
      </c>
      <c r="I62" s="52">
        <v>0</v>
      </c>
      <c r="J62" s="42">
        <f>(июль!J62+август!J62+сентябрь!J62+октябрь!J62+ноябрь!J62+декабрь!J62)/6</f>
        <v>3.5094266666666667</v>
      </c>
      <c r="K62" s="53">
        <v>0</v>
      </c>
      <c r="L62" s="19"/>
      <c r="M62" s="43" t="s">
        <v>43</v>
      </c>
      <c r="N62" s="44" t="s">
        <v>44</v>
      </c>
      <c r="O62" s="44" t="s">
        <v>45</v>
      </c>
    </row>
    <row r="63" spans="3:16" s="17" customFormat="1" ht="12.75" x14ac:dyDescent="0.2">
      <c r="C63" s="18"/>
      <c r="D63" s="32"/>
      <c r="E63" s="33" t="s">
        <v>31</v>
      </c>
      <c r="F63" s="34"/>
      <c r="G63" s="34"/>
      <c r="H63" s="34"/>
      <c r="I63" s="34"/>
      <c r="J63" s="34"/>
      <c r="K63" s="35"/>
      <c r="L63" s="19"/>
      <c r="M63" s="24"/>
      <c r="P63" s="25"/>
    </row>
    <row r="64" spans="3:16" s="17" customFormat="1" ht="12.75" x14ac:dyDescent="0.2">
      <c r="C64" s="18"/>
      <c r="D64" s="20" t="s">
        <v>124</v>
      </c>
      <c r="E64" s="21" t="s">
        <v>47</v>
      </c>
      <c r="F64" s="22" t="s">
        <v>125</v>
      </c>
      <c r="G64" s="23">
        <f t="shared" si="0"/>
        <v>4.6567666666666661</v>
      </c>
      <c r="H64" s="23">
        <f>H66+H67+H68</f>
        <v>0</v>
      </c>
      <c r="I64" s="23">
        <f>I65+I67+I68</f>
        <v>0</v>
      </c>
      <c r="J64" s="23">
        <f>J65+J66+J68</f>
        <v>1.1082399999999999</v>
      </c>
      <c r="K64" s="23">
        <f>K65+K66+K67</f>
        <v>3.5485266666666666</v>
      </c>
      <c r="L64" s="19"/>
      <c r="M64" s="24"/>
      <c r="P64" s="25">
        <v>340</v>
      </c>
    </row>
    <row r="65" spans="3:16" s="17" customFormat="1" ht="12.75" x14ac:dyDescent="0.2">
      <c r="C65" s="18"/>
      <c r="D65" s="20" t="s">
        <v>126</v>
      </c>
      <c r="E65" s="26" t="s">
        <v>18</v>
      </c>
      <c r="F65" s="22" t="s">
        <v>127</v>
      </c>
      <c r="G65" s="23">
        <f t="shared" si="0"/>
        <v>1.1082399999999999</v>
      </c>
      <c r="H65" s="45"/>
      <c r="I65" s="27"/>
      <c r="J65" s="27">
        <f>H62</f>
        <v>1.1082399999999999</v>
      </c>
      <c r="K65" s="27"/>
      <c r="L65" s="19"/>
      <c r="M65" s="24"/>
      <c r="P65" s="25">
        <v>350</v>
      </c>
    </row>
    <row r="66" spans="3:16" s="17" customFormat="1" ht="12.75" x14ac:dyDescent="0.2">
      <c r="C66" s="18"/>
      <c r="D66" s="20" t="s">
        <v>128</v>
      </c>
      <c r="E66" s="26" t="s">
        <v>19</v>
      </c>
      <c r="F66" s="22" t="s">
        <v>129</v>
      </c>
      <c r="G66" s="23">
        <f t="shared" si="0"/>
        <v>0</v>
      </c>
      <c r="H66" s="27"/>
      <c r="I66" s="54"/>
      <c r="J66" s="27"/>
      <c r="K66" s="27"/>
      <c r="L66" s="19"/>
      <c r="M66" s="24"/>
      <c r="P66" s="25">
        <v>360</v>
      </c>
    </row>
    <row r="67" spans="3:16" s="17" customFormat="1" ht="12.75" x14ac:dyDescent="0.2">
      <c r="C67" s="18"/>
      <c r="D67" s="20" t="s">
        <v>130</v>
      </c>
      <c r="E67" s="26" t="s">
        <v>20</v>
      </c>
      <c r="F67" s="22" t="s">
        <v>131</v>
      </c>
      <c r="G67" s="23">
        <f t="shared" si="0"/>
        <v>3.5485266666666666</v>
      </c>
      <c r="H67" s="27"/>
      <c r="I67" s="27"/>
      <c r="J67" s="45"/>
      <c r="K67" s="27">
        <f>K73+K83</f>
        <v>3.5485266666666666</v>
      </c>
      <c r="L67" s="19"/>
      <c r="M67" s="24"/>
      <c r="P67" s="25">
        <v>370</v>
      </c>
    </row>
    <row r="68" spans="3:16" s="17" customFormat="1" ht="12.75" x14ac:dyDescent="0.2">
      <c r="C68" s="18"/>
      <c r="D68" s="20" t="s">
        <v>132</v>
      </c>
      <c r="E68" s="26" t="s">
        <v>56</v>
      </c>
      <c r="F68" s="22" t="s">
        <v>133</v>
      </c>
      <c r="G68" s="23">
        <f t="shared" si="0"/>
        <v>0</v>
      </c>
      <c r="H68" s="27"/>
      <c r="I68" s="27"/>
      <c r="J68" s="27"/>
      <c r="K68" s="45"/>
      <c r="L68" s="19"/>
      <c r="M68" s="24"/>
      <c r="P68" s="25">
        <v>380</v>
      </c>
    </row>
    <row r="69" spans="3:16" s="17" customFormat="1" ht="12.75" x14ac:dyDescent="0.2">
      <c r="C69" s="18"/>
      <c r="D69" s="20" t="s">
        <v>134</v>
      </c>
      <c r="E69" s="46" t="s">
        <v>59</v>
      </c>
      <c r="F69" s="22" t="s">
        <v>135</v>
      </c>
      <c r="G69" s="23">
        <f t="shared" si="0"/>
        <v>0</v>
      </c>
      <c r="H69" s="27"/>
      <c r="I69" s="27"/>
      <c r="J69" s="27"/>
      <c r="K69" s="27"/>
      <c r="L69" s="19"/>
      <c r="M69" s="24"/>
      <c r="P69" s="25"/>
    </row>
    <row r="70" spans="3:16" s="17" customFormat="1" ht="12.75" x14ac:dyDescent="0.2">
      <c r="C70" s="18"/>
      <c r="D70" s="20" t="s">
        <v>136</v>
      </c>
      <c r="E70" s="21" t="s">
        <v>62</v>
      </c>
      <c r="F70" s="47" t="s">
        <v>137</v>
      </c>
      <c r="G70" s="23">
        <f t="shared" si="0"/>
        <v>4.4547499999999998</v>
      </c>
      <c r="H70" s="23">
        <f>H71+H73+H76+H79</f>
        <v>0</v>
      </c>
      <c r="I70" s="23">
        <f>I71+I73+I76+I79</f>
        <v>0</v>
      </c>
      <c r="J70" s="23">
        <f>J71+J73+J76+J79</f>
        <v>1.0691400000000002</v>
      </c>
      <c r="K70" s="23">
        <f>K71+K73+K76+K79</f>
        <v>3.3856099999999998</v>
      </c>
      <c r="L70" s="19"/>
      <c r="M70" s="24"/>
      <c r="P70" s="25">
        <v>390</v>
      </c>
    </row>
    <row r="71" spans="3:16" s="17" customFormat="1" ht="22.5" x14ac:dyDescent="0.2">
      <c r="C71" s="18"/>
      <c r="D71" s="20" t="s">
        <v>138</v>
      </c>
      <c r="E71" s="26" t="s">
        <v>65</v>
      </c>
      <c r="F71" s="22" t="s">
        <v>139</v>
      </c>
      <c r="G71" s="23">
        <f t="shared" si="0"/>
        <v>0</v>
      </c>
      <c r="H71" s="27"/>
      <c r="I71" s="27"/>
      <c r="J71" s="27"/>
      <c r="K71" s="27"/>
      <c r="L71" s="19"/>
      <c r="M71" s="24"/>
      <c r="P71" s="25"/>
    </row>
    <row r="72" spans="3:16" s="17" customFormat="1" ht="12.75" x14ac:dyDescent="0.2">
      <c r="C72" s="18"/>
      <c r="D72" s="20" t="s">
        <v>140</v>
      </c>
      <c r="E72" s="48" t="s">
        <v>68</v>
      </c>
      <c r="F72" s="22" t="s">
        <v>141</v>
      </c>
      <c r="G72" s="23">
        <f t="shared" si="0"/>
        <v>0</v>
      </c>
      <c r="H72" s="27"/>
      <c r="I72" s="27"/>
      <c r="J72" s="27"/>
      <c r="K72" s="27"/>
      <c r="L72" s="19"/>
      <c r="M72" s="24"/>
      <c r="P72" s="25"/>
    </row>
    <row r="73" spans="3:16" s="17" customFormat="1" ht="12.75" x14ac:dyDescent="0.2">
      <c r="C73" s="18"/>
      <c r="D73" s="20" t="s">
        <v>142</v>
      </c>
      <c r="E73" s="26" t="s">
        <v>71</v>
      </c>
      <c r="F73" s="22" t="s">
        <v>143</v>
      </c>
      <c r="G73" s="23">
        <f t="shared" si="0"/>
        <v>4.4547499999999998</v>
      </c>
      <c r="H73" s="27">
        <v>0</v>
      </c>
      <c r="I73" s="27">
        <v>0</v>
      </c>
      <c r="J73" s="42">
        <f>(июль!J73+август!J73+сентябрь!J73+октябрь!J73+ноябрь!J73+декабрь!J73)/6</f>
        <v>1.0691400000000002</v>
      </c>
      <c r="K73" s="42">
        <f>(июль!K73+август!K73+сентябрь!K73+октябрь!K73+ноябрь!K73+декабрь!K73)/6</f>
        <v>3.3856099999999998</v>
      </c>
      <c r="L73" s="19"/>
      <c r="M73" s="24"/>
      <c r="P73" s="25"/>
    </row>
    <row r="74" spans="3:16" s="17" customFormat="1" ht="12.75" x14ac:dyDescent="0.2">
      <c r="C74" s="18"/>
      <c r="D74" s="20" t="s">
        <v>144</v>
      </c>
      <c r="E74" s="48" t="s">
        <v>74</v>
      </c>
      <c r="F74" s="22" t="s">
        <v>145</v>
      </c>
      <c r="G74" s="23">
        <f t="shared" si="0"/>
        <v>0</v>
      </c>
      <c r="H74" s="27"/>
      <c r="I74" s="27"/>
      <c r="J74" s="27"/>
      <c r="K74" s="27"/>
      <c r="L74" s="19"/>
      <c r="M74" s="24"/>
      <c r="P74" s="25"/>
    </row>
    <row r="75" spans="3:16" s="17" customFormat="1" ht="12.75" x14ac:dyDescent="0.2">
      <c r="C75" s="18"/>
      <c r="D75" s="20" t="s">
        <v>146</v>
      </c>
      <c r="E75" s="49" t="s">
        <v>68</v>
      </c>
      <c r="F75" s="22" t="s">
        <v>147</v>
      </c>
      <c r="G75" s="23">
        <f t="shared" si="0"/>
        <v>0</v>
      </c>
      <c r="H75" s="27"/>
      <c r="I75" s="27"/>
      <c r="J75" s="27"/>
      <c r="K75" s="27"/>
      <c r="L75" s="19"/>
      <c r="M75" s="24"/>
      <c r="P75" s="25"/>
    </row>
    <row r="76" spans="3:16" s="17" customFormat="1" ht="12.75" x14ac:dyDescent="0.2">
      <c r="C76" s="18"/>
      <c r="D76" s="20" t="s">
        <v>148</v>
      </c>
      <c r="E76" s="26" t="s">
        <v>79</v>
      </c>
      <c r="F76" s="22" t="s">
        <v>149</v>
      </c>
      <c r="G76" s="23">
        <f t="shared" si="0"/>
        <v>0</v>
      </c>
      <c r="H76" s="23">
        <f>SUM(H77:H78)</f>
        <v>0</v>
      </c>
      <c r="I76" s="23">
        <f>SUM(I77:I78)</f>
        <v>0</v>
      </c>
      <c r="J76" s="23">
        <f>SUM(J77:J78)</f>
        <v>0</v>
      </c>
      <c r="K76" s="23">
        <f>SUM(K77:K78)</f>
        <v>0</v>
      </c>
      <c r="L76" s="19"/>
      <c r="M76" s="24"/>
      <c r="P76" s="25"/>
    </row>
    <row r="77" spans="3:16" s="17" customFormat="1" ht="12.75" x14ac:dyDescent="0.2">
      <c r="C77" s="18"/>
      <c r="D77" s="28" t="s">
        <v>150</v>
      </c>
      <c r="E77" s="29"/>
      <c r="F77" s="30" t="s">
        <v>149</v>
      </c>
      <c r="G77" s="31"/>
      <c r="H77" s="31"/>
      <c r="I77" s="31"/>
      <c r="J77" s="31"/>
      <c r="K77" s="31"/>
      <c r="L77" s="19"/>
      <c r="M77" s="24"/>
      <c r="P77" s="25"/>
    </row>
    <row r="78" spans="3:16" s="17" customFormat="1" ht="12.75" x14ac:dyDescent="0.2">
      <c r="C78" s="18"/>
      <c r="D78" s="32"/>
      <c r="E78" s="33" t="s">
        <v>31</v>
      </c>
      <c r="F78" s="34"/>
      <c r="G78" s="34"/>
      <c r="H78" s="34"/>
      <c r="I78" s="34"/>
      <c r="J78" s="34"/>
      <c r="K78" s="35"/>
      <c r="L78" s="19"/>
      <c r="M78" s="24"/>
      <c r="P78" s="25"/>
    </row>
    <row r="79" spans="3:16" s="17" customFormat="1" ht="12.75" x14ac:dyDescent="0.2">
      <c r="C79" s="18"/>
      <c r="D79" s="20" t="s">
        <v>151</v>
      </c>
      <c r="E79" s="51" t="s">
        <v>83</v>
      </c>
      <c r="F79" s="22" t="s">
        <v>152</v>
      </c>
      <c r="G79" s="23">
        <f t="shared" si="0"/>
        <v>0</v>
      </c>
      <c r="H79" s="27"/>
      <c r="I79" s="27"/>
      <c r="J79" s="27"/>
      <c r="K79" s="27"/>
      <c r="L79" s="19"/>
      <c r="M79" s="24"/>
      <c r="P79" s="25">
        <v>410</v>
      </c>
    </row>
    <row r="80" spans="3:16" s="17" customFormat="1" ht="12.75" x14ac:dyDescent="0.2">
      <c r="C80" s="18"/>
      <c r="D80" s="20" t="s">
        <v>153</v>
      </c>
      <c r="E80" s="21" t="s">
        <v>86</v>
      </c>
      <c r="F80" s="22" t="s">
        <v>154</v>
      </c>
      <c r="G80" s="23">
        <f t="shared" si="0"/>
        <v>4.6567666666666661</v>
      </c>
      <c r="H80" s="27">
        <f>H62</f>
        <v>1.1082399999999999</v>
      </c>
      <c r="I80" s="27"/>
      <c r="J80" s="27">
        <f>K67</f>
        <v>3.5485266666666666</v>
      </c>
      <c r="K80" s="27"/>
      <c r="L80" s="19"/>
      <c r="M80" s="24"/>
      <c r="P80" s="25">
        <v>440</v>
      </c>
    </row>
    <row r="81" spans="3:16" s="17" customFormat="1" ht="12.75" x14ac:dyDescent="0.2">
      <c r="C81" s="18"/>
      <c r="D81" s="20" t="s">
        <v>155</v>
      </c>
      <c r="E81" s="21" t="s">
        <v>89</v>
      </c>
      <c r="F81" s="22" t="s">
        <v>156</v>
      </c>
      <c r="G81" s="23">
        <f t="shared" si="0"/>
        <v>0</v>
      </c>
      <c r="H81" s="27"/>
      <c r="I81" s="27"/>
      <c r="J81" s="27"/>
      <c r="K81" s="27"/>
      <c r="L81" s="19"/>
      <c r="M81" s="24"/>
      <c r="P81" s="25">
        <v>450</v>
      </c>
    </row>
    <row r="82" spans="3:16" s="17" customFormat="1" ht="12.75" x14ac:dyDescent="0.2">
      <c r="C82" s="18"/>
      <c r="D82" s="20" t="s">
        <v>157</v>
      </c>
      <c r="E82" s="21" t="s">
        <v>92</v>
      </c>
      <c r="F82" s="22" t="s">
        <v>158</v>
      </c>
      <c r="G82" s="23">
        <f t="shared" si="0"/>
        <v>0</v>
      </c>
      <c r="H82" s="27"/>
      <c r="I82" s="27"/>
      <c r="J82" s="27"/>
      <c r="K82" s="27"/>
      <c r="L82" s="19"/>
      <c r="M82" s="24"/>
      <c r="P82" s="25">
        <v>470</v>
      </c>
    </row>
    <row r="83" spans="3:16" s="17" customFormat="1" ht="12.75" x14ac:dyDescent="0.2">
      <c r="C83" s="18"/>
      <c r="D83" s="20" t="s">
        <v>159</v>
      </c>
      <c r="E83" s="21" t="s">
        <v>95</v>
      </c>
      <c r="F83" s="22" t="s">
        <v>160</v>
      </c>
      <c r="G83" s="23">
        <f t="shared" si="0"/>
        <v>0.16291666666666682</v>
      </c>
      <c r="H83" s="27"/>
      <c r="I83" s="27"/>
      <c r="J83" s="27"/>
      <c r="K83" s="27">
        <f>G62-G73</f>
        <v>0.16291666666666682</v>
      </c>
      <c r="L83" s="19"/>
      <c r="M83" s="24"/>
      <c r="P83" s="25">
        <v>480</v>
      </c>
    </row>
    <row r="84" spans="3:16" s="17" customFormat="1" ht="12.75" x14ac:dyDescent="0.2">
      <c r="C84" s="18"/>
      <c r="D84" s="20" t="s">
        <v>161</v>
      </c>
      <c r="E84" s="26" t="s">
        <v>162</v>
      </c>
      <c r="F84" s="22" t="s">
        <v>163</v>
      </c>
      <c r="G84" s="23">
        <f t="shared" si="0"/>
        <v>0</v>
      </c>
      <c r="H84" s="27"/>
      <c r="I84" s="27"/>
      <c r="J84" s="27"/>
      <c r="K84" s="27"/>
      <c r="L84" s="19"/>
      <c r="M84" s="24"/>
      <c r="P84" s="25">
        <v>490</v>
      </c>
    </row>
    <row r="85" spans="3:16" s="17" customFormat="1" ht="12.75" x14ac:dyDescent="0.2">
      <c r="C85" s="18"/>
      <c r="D85" s="20" t="s">
        <v>164</v>
      </c>
      <c r="E85" s="21" t="s">
        <v>101</v>
      </c>
      <c r="F85" s="22" t="s">
        <v>165</v>
      </c>
      <c r="G85" s="23">
        <f t="shared" si="0"/>
        <v>0.17913333333333334</v>
      </c>
      <c r="H85" s="27"/>
      <c r="I85" s="27"/>
      <c r="J85" s="42">
        <f>(июль!J85+август!J85+сентябрь!J85+октябрь!J85+ноябрь!J85+декабрь!J85)/6</f>
        <v>0</v>
      </c>
      <c r="K85" s="42">
        <f>(июль!K85+август!K85+сентябрь!K85+октябрь!K85+ноябрь!K85+декабрь!K85)/6</f>
        <v>0.17913333333333334</v>
      </c>
      <c r="L85" s="19"/>
      <c r="M85" s="24"/>
      <c r="P85" s="25"/>
    </row>
    <row r="86" spans="3:16" s="17" customFormat="1" ht="22.5" x14ac:dyDescent="0.2">
      <c r="C86" s="18"/>
      <c r="D86" s="20" t="s">
        <v>166</v>
      </c>
      <c r="E86" s="46" t="s">
        <v>104</v>
      </c>
      <c r="F86" s="22" t="s">
        <v>167</v>
      </c>
      <c r="G86" s="23">
        <f t="shared" si="0"/>
        <v>-1.6216666666666518E-2</v>
      </c>
      <c r="H86" s="23">
        <f>H83-H85</f>
        <v>0</v>
      </c>
      <c r="I86" s="23">
        <f>I83-I85</f>
        <v>0</v>
      </c>
      <c r="J86" s="23">
        <f>J83-J85</f>
        <v>0</v>
      </c>
      <c r="K86" s="23">
        <f>K83-K85</f>
        <v>-1.6216666666666518E-2</v>
      </c>
      <c r="L86" s="19"/>
      <c r="M86" s="24"/>
      <c r="P86" s="25"/>
    </row>
    <row r="87" spans="3:16" s="17" customFormat="1" ht="12.75" x14ac:dyDescent="0.2">
      <c r="C87" s="18"/>
      <c r="D87" s="20" t="s">
        <v>168</v>
      </c>
      <c r="E87" s="21" t="s">
        <v>107</v>
      </c>
      <c r="F87" s="22" t="s">
        <v>169</v>
      </c>
      <c r="G87" s="23">
        <f t="shared" si="0"/>
        <v>0</v>
      </c>
      <c r="H87" s="23">
        <f>(H52+H64+H69)-(H70+H80+H81+H82+H83)</f>
        <v>0</v>
      </c>
      <c r="I87" s="23">
        <f>(I52+I64+I69)-(I70+I80+I81+I82+I83)</f>
        <v>0</v>
      </c>
      <c r="J87" s="23">
        <f>(J52+J64+J69)-(J70+J80+J81+J82+J83)</f>
        <v>0</v>
      </c>
      <c r="K87" s="23">
        <f>(K52+K64+K69)-(K70+K80+K81+K82+K83)</f>
        <v>0</v>
      </c>
      <c r="L87" s="19"/>
      <c r="M87" s="24"/>
      <c r="P87" s="25">
        <v>500</v>
      </c>
    </row>
    <row r="88" spans="3:16" s="17" customFormat="1" ht="12.75" x14ac:dyDescent="0.2">
      <c r="C88" s="18"/>
      <c r="D88" s="87" t="s">
        <v>170</v>
      </c>
      <c r="E88" s="88"/>
      <c r="F88" s="88"/>
      <c r="G88" s="88"/>
      <c r="H88" s="88"/>
      <c r="I88" s="88"/>
      <c r="J88" s="88"/>
      <c r="K88" s="89"/>
      <c r="L88" s="19"/>
      <c r="M88" s="24"/>
      <c r="P88" s="36"/>
    </row>
    <row r="89" spans="3:16" s="17" customFormat="1" ht="12.75" x14ac:dyDescent="0.2">
      <c r="C89" s="18"/>
      <c r="D89" s="20" t="s">
        <v>171</v>
      </c>
      <c r="E89" s="21" t="s">
        <v>172</v>
      </c>
      <c r="F89" s="22" t="s">
        <v>173</v>
      </c>
      <c r="G89" s="23">
        <f t="shared" si="0"/>
        <v>4.4547499999999998</v>
      </c>
      <c r="H89" s="27"/>
      <c r="I89" s="27"/>
      <c r="J89" s="42">
        <f>J73</f>
        <v>1.0691400000000002</v>
      </c>
      <c r="K89" s="42">
        <f>K73</f>
        <v>3.3856099999999998</v>
      </c>
      <c r="L89" s="19"/>
      <c r="M89" s="24"/>
      <c r="P89" s="25">
        <v>600</v>
      </c>
    </row>
    <row r="90" spans="3:16" s="17" customFormat="1" ht="12.75" x14ac:dyDescent="0.2">
      <c r="C90" s="18"/>
      <c r="D90" s="20" t="s">
        <v>174</v>
      </c>
      <c r="E90" s="21" t="s">
        <v>175</v>
      </c>
      <c r="F90" s="22" t="s">
        <v>176</v>
      </c>
      <c r="G90" s="23">
        <f t="shared" si="0"/>
        <v>0</v>
      </c>
      <c r="H90" s="27"/>
      <c r="I90" s="27"/>
      <c r="J90" s="27"/>
      <c r="K90" s="27"/>
      <c r="L90" s="19"/>
      <c r="M90" s="24"/>
      <c r="P90" s="25">
        <v>610</v>
      </c>
    </row>
    <row r="91" spans="3:16" s="17" customFormat="1" ht="12.75" x14ac:dyDescent="0.2">
      <c r="C91" s="18"/>
      <c r="D91" s="20" t="s">
        <v>177</v>
      </c>
      <c r="E91" s="21" t="s">
        <v>178</v>
      </c>
      <c r="F91" s="22" t="s">
        <v>179</v>
      </c>
      <c r="G91" s="23">
        <f t="shared" si="0"/>
        <v>0</v>
      </c>
      <c r="H91" s="27"/>
      <c r="I91" s="27"/>
      <c r="J91" s="27"/>
      <c r="K91" s="27"/>
      <c r="L91" s="19"/>
      <c r="M91" s="24"/>
      <c r="P91" s="25">
        <v>620</v>
      </c>
    </row>
    <row r="92" spans="3:16" s="17" customFormat="1" ht="12.75" x14ac:dyDescent="0.2">
      <c r="C92" s="18"/>
      <c r="D92" s="87" t="s">
        <v>180</v>
      </c>
      <c r="E92" s="88"/>
      <c r="F92" s="88"/>
      <c r="G92" s="88"/>
      <c r="H92" s="88"/>
      <c r="I92" s="88"/>
      <c r="J92" s="88"/>
      <c r="K92" s="89"/>
      <c r="L92" s="19"/>
      <c r="M92" s="24"/>
      <c r="P92" s="36"/>
    </row>
    <row r="93" spans="3:16" s="17" customFormat="1" ht="12.75" x14ac:dyDescent="0.2">
      <c r="C93" s="18"/>
      <c r="D93" s="20" t="s">
        <v>181</v>
      </c>
      <c r="E93" s="21" t="s">
        <v>182</v>
      </c>
      <c r="F93" s="22" t="s">
        <v>183</v>
      </c>
      <c r="G93" s="23">
        <f t="shared" si="0"/>
        <v>0</v>
      </c>
      <c r="H93" s="23">
        <f>SUM(H94:H95)</f>
        <v>0</v>
      </c>
      <c r="I93" s="23">
        <f>SUM(I94:I95)</f>
        <v>0</v>
      </c>
      <c r="J93" s="23">
        <f>SUM(J94:J95)</f>
        <v>0</v>
      </c>
      <c r="K93" s="23">
        <f>SUM(K94:K95)</f>
        <v>0</v>
      </c>
      <c r="L93" s="19"/>
      <c r="M93" s="24"/>
      <c r="P93" s="25">
        <v>700</v>
      </c>
    </row>
    <row r="94" spans="3:16" ht="12.75" x14ac:dyDescent="0.2">
      <c r="C94" s="6"/>
      <c r="D94" s="55" t="s">
        <v>184</v>
      </c>
      <c r="E94" s="26" t="s">
        <v>185</v>
      </c>
      <c r="F94" s="22" t="s">
        <v>186</v>
      </c>
      <c r="G94" s="23">
        <f t="shared" si="0"/>
        <v>0</v>
      </c>
      <c r="H94" s="56"/>
      <c r="I94" s="56"/>
      <c r="J94" s="56"/>
      <c r="K94" s="56"/>
      <c r="L94" s="13"/>
      <c r="M94" s="24"/>
      <c r="P94" s="25">
        <v>710</v>
      </c>
    </row>
    <row r="95" spans="3:16" ht="12.75" x14ac:dyDescent="0.2">
      <c r="C95" s="6"/>
      <c r="D95" s="55" t="s">
        <v>187</v>
      </c>
      <c r="E95" s="26" t="s">
        <v>188</v>
      </c>
      <c r="F95" s="22" t="s">
        <v>189</v>
      </c>
      <c r="G95" s="23">
        <f t="shared" si="0"/>
        <v>0</v>
      </c>
      <c r="H95" s="57">
        <f>H98</f>
        <v>0</v>
      </c>
      <c r="I95" s="57">
        <f>I98</f>
        <v>0</v>
      </c>
      <c r="J95" s="57">
        <f>J98</f>
        <v>0</v>
      </c>
      <c r="K95" s="57">
        <f>K98</f>
        <v>0</v>
      </c>
      <c r="L95" s="13"/>
      <c r="M95" s="24"/>
      <c r="P95" s="25">
        <v>720</v>
      </c>
    </row>
    <row r="96" spans="3:16" ht="12.75" x14ac:dyDescent="0.2">
      <c r="C96" s="6"/>
      <c r="D96" s="55" t="s">
        <v>190</v>
      </c>
      <c r="E96" s="48" t="s">
        <v>191</v>
      </c>
      <c r="F96" s="22" t="s">
        <v>192</v>
      </c>
      <c r="G96" s="23">
        <f t="shared" si="0"/>
        <v>0</v>
      </c>
      <c r="H96" s="56"/>
      <c r="I96" s="56"/>
      <c r="J96" s="56"/>
      <c r="K96" s="56"/>
      <c r="L96" s="13"/>
      <c r="M96" s="24"/>
      <c r="P96" s="25">
        <v>730</v>
      </c>
    </row>
    <row r="97" spans="3:16" ht="12.75" x14ac:dyDescent="0.2">
      <c r="C97" s="6"/>
      <c r="D97" s="55" t="s">
        <v>193</v>
      </c>
      <c r="E97" s="49" t="s">
        <v>194</v>
      </c>
      <c r="F97" s="22" t="s">
        <v>195</v>
      </c>
      <c r="G97" s="23">
        <f t="shared" si="0"/>
        <v>0</v>
      </c>
      <c r="H97" s="56"/>
      <c r="I97" s="56"/>
      <c r="J97" s="56"/>
      <c r="K97" s="56"/>
      <c r="L97" s="13"/>
      <c r="M97" s="24"/>
      <c r="P97" s="25"/>
    </row>
    <row r="98" spans="3:16" ht="12.75" x14ac:dyDescent="0.2">
      <c r="C98" s="6"/>
      <c r="D98" s="55" t="s">
        <v>196</v>
      </c>
      <c r="E98" s="48" t="s">
        <v>197</v>
      </c>
      <c r="F98" s="22" t="s">
        <v>198</v>
      </c>
      <c r="G98" s="23">
        <f t="shared" si="0"/>
        <v>0</v>
      </c>
      <c r="H98" s="56"/>
      <c r="I98" s="56"/>
      <c r="J98" s="56"/>
      <c r="K98" s="56"/>
      <c r="L98" s="13"/>
      <c r="M98" s="24"/>
      <c r="P98" s="25">
        <v>740</v>
      </c>
    </row>
    <row r="99" spans="3:16" ht="12.75" x14ac:dyDescent="0.2">
      <c r="C99" s="6"/>
      <c r="D99" s="55" t="s">
        <v>199</v>
      </c>
      <c r="E99" s="21" t="s">
        <v>200</v>
      </c>
      <c r="F99" s="22" t="s">
        <v>201</v>
      </c>
      <c r="G99" s="23">
        <f t="shared" si="0"/>
        <v>0</v>
      </c>
      <c r="H99" s="57">
        <f>H100+H116</f>
        <v>0</v>
      </c>
      <c r="I99" s="57">
        <f>I100+I116</f>
        <v>0</v>
      </c>
      <c r="J99" s="57">
        <f>J100+J116</f>
        <v>0</v>
      </c>
      <c r="K99" s="57">
        <f>K100+K116</f>
        <v>0</v>
      </c>
      <c r="L99" s="13"/>
      <c r="M99" s="24"/>
      <c r="P99" s="25">
        <v>750</v>
      </c>
    </row>
    <row r="100" spans="3:16" ht="12.75" x14ac:dyDescent="0.2">
      <c r="C100" s="6"/>
      <c r="D100" s="55" t="s">
        <v>202</v>
      </c>
      <c r="E100" s="26" t="s">
        <v>203</v>
      </c>
      <c r="F100" s="22" t="s">
        <v>204</v>
      </c>
      <c r="G100" s="23">
        <f t="shared" si="0"/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57">
        <f>K101+K102</f>
        <v>0</v>
      </c>
      <c r="L100" s="13"/>
      <c r="M100" s="24"/>
      <c r="P100" s="25">
        <v>760</v>
      </c>
    </row>
    <row r="101" spans="3:16" ht="12.75" x14ac:dyDescent="0.2">
      <c r="C101" s="6"/>
      <c r="D101" s="55" t="s">
        <v>205</v>
      </c>
      <c r="E101" s="48" t="s">
        <v>206</v>
      </c>
      <c r="F101" s="22" t="s">
        <v>207</v>
      </c>
      <c r="G101" s="23">
        <f t="shared" si="0"/>
        <v>0</v>
      </c>
      <c r="H101" s="56"/>
      <c r="I101" s="56"/>
      <c r="J101" s="56"/>
      <c r="K101" s="56"/>
      <c r="L101" s="13"/>
      <c r="M101" s="24"/>
      <c r="P101" s="25"/>
    </row>
    <row r="102" spans="3:16" ht="12.75" x14ac:dyDescent="0.2">
      <c r="C102" s="6"/>
      <c r="D102" s="55" t="s">
        <v>208</v>
      </c>
      <c r="E102" s="48" t="s">
        <v>209</v>
      </c>
      <c r="F102" s="22" t="s">
        <v>210</v>
      </c>
      <c r="G102" s="23">
        <f t="shared" si="0"/>
        <v>0</v>
      </c>
      <c r="H102" s="57">
        <f>H103+H106+H109+H112+H113+H114+H115</f>
        <v>0</v>
      </c>
      <c r="I102" s="57">
        <f>I103+I106+I109+I112+I113+I114+I115</f>
        <v>0</v>
      </c>
      <c r="J102" s="57">
        <f>J103+J106+J109+J112+J113+J114+J115</f>
        <v>0</v>
      </c>
      <c r="K102" s="57">
        <f>K103+K106+K109+K112+K113+K114+K115</f>
        <v>0</v>
      </c>
      <c r="L102" s="13"/>
      <c r="M102" s="24"/>
      <c r="P102" s="25"/>
    </row>
    <row r="103" spans="3:16" ht="33.75" x14ac:dyDescent="0.2">
      <c r="C103" s="6"/>
      <c r="D103" s="55" t="s">
        <v>211</v>
      </c>
      <c r="E103" s="49" t="s">
        <v>212</v>
      </c>
      <c r="F103" s="22" t="s">
        <v>213</v>
      </c>
      <c r="G103" s="23">
        <f t="shared" si="0"/>
        <v>0</v>
      </c>
      <c r="H103" s="58">
        <f>H104+H105</f>
        <v>0</v>
      </c>
      <c r="I103" s="58">
        <f>I104+I105</f>
        <v>0</v>
      </c>
      <c r="J103" s="58">
        <f>J104+J105</f>
        <v>0</v>
      </c>
      <c r="K103" s="58">
        <f>K104+K105</f>
        <v>0</v>
      </c>
      <c r="L103" s="13"/>
      <c r="M103" s="24"/>
      <c r="P103" s="25"/>
    </row>
    <row r="104" spans="3:16" ht="12.75" x14ac:dyDescent="0.2">
      <c r="C104" s="6"/>
      <c r="D104" s="55" t="s">
        <v>214</v>
      </c>
      <c r="E104" s="59" t="s">
        <v>215</v>
      </c>
      <c r="F104" s="22" t="s">
        <v>216</v>
      </c>
      <c r="G104" s="23">
        <f t="shared" si="0"/>
        <v>0</v>
      </c>
      <c r="H104" s="56"/>
      <c r="I104" s="56"/>
      <c r="J104" s="56"/>
      <c r="K104" s="56"/>
      <c r="L104" s="13"/>
      <c r="M104" s="24"/>
      <c r="P104" s="25"/>
    </row>
    <row r="105" spans="3:16" ht="12.75" x14ac:dyDescent="0.2">
      <c r="C105" s="6"/>
      <c r="D105" s="55" t="s">
        <v>217</v>
      </c>
      <c r="E105" s="59" t="s">
        <v>218</v>
      </c>
      <c r="F105" s="22" t="s">
        <v>219</v>
      </c>
      <c r="G105" s="23">
        <f t="shared" si="0"/>
        <v>0</v>
      </c>
      <c r="H105" s="56"/>
      <c r="I105" s="56"/>
      <c r="J105" s="56"/>
      <c r="K105" s="56"/>
      <c r="L105" s="13"/>
      <c r="M105" s="24"/>
      <c r="P105" s="25"/>
    </row>
    <row r="106" spans="3:16" ht="33.75" x14ac:dyDescent="0.2">
      <c r="C106" s="6"/>
      <c r="D106" s="55" t="s">
        <v>220</v>
      </c>
      <c r="E106" s="49" t="s">
        <v>221</v>
      </c>
      <c r="F106" s="22" t="s">
        <v>222</v>
      </c>
      <c r="G106" s="23">
        <f t="shared" si="0"/>
        <v>0</v>
      </c>
      <c r="H106" s="58">
        <f>H107+H108</f>
        <v>0</v>
      </c>
      <c r="I106" s="58">
        <f>I107+I108</f>
        <v>0</v>
      </c>
      <c r="J106" s="58">
        <f>J107+J108</f>
        <v>0</v>
      </c>
      <c r="K106" s="58">
        <f>K107+K108</f>
        <v>0</v>
      </c>
      <c r="L106" s="13"/>
      <c r="M106" s="24"/>
      <c r="P106" s="25"/>
    </row>
    <row r="107" spans="3:16" ht="12.75" x14ac:dyDescent="0.2">
      <c r="C107" s="6"/>
      <c r="D107" s="55" t="s">
        <v>223</v>
      </c>
      <c r="E107" s="59" t="s">
        <v>215</v>
      </c>
      <c r="F107" s="22" t="s">
        <v>224</v>
      </c>
      <c r="G107" s="23">
        <f t="shared" si="0"/>
        <v>0</v>
      </c>
      <c r="H107" s="56"/>
      <c r="I107" s="56"/>
      <c r="J107" s="56"/>
      <c r="K107" s="56"/>
      <c r="L107" s="13"/>
      <c r="M107" s="24"/>
      <c r="P107" s="25"/>
    </row>
    <row r="108" spans="3:16" ht="12.75" x14ac:dyDescent="0.2">
      <c r="C108" s="6"/>
      <c r="D108" s="55" t="s">
        <v>225</v>
      </c>
      <c r="E108" s="59" t="s">
        <v>218</v>
      </c>
      <c r="F108" s="22" t="s">
        <v>226</v>
      </c>
      <c r="G108" s="23">
        <f t="shared" si="0"/>
        <v>0</v>
      </c>
      <c r="H108" s="56"/>
      <c r="I108" s="56"/>
      <c r="J108" s="56"/>
      <c r="K108" s="56"/>
      <c r="L108" s="13"/>
      <c r="M108" s="24"/>
      <c r="P108" s="25"/>
    </row>
    <row r="109" spans="3:16" ht="22.5" x14ac:dyDescent="0.2">
      <c r="C109" s="6"/>
      <c r="D109" s="55" t="s">
        <v>227</v>
      </c>
      <c r="E109" s="49" t="s">
        <v>228</v>
      </c>
      <c r="F109" s="22" t="s">
        <v>229</v>
      </c>
      <c r="G109" s="23">
        <f t="shared" si="0"/>
        <v>0</v>
      </c>
      <c r="H109" s="58">
        <f>H110+H111</f>
        <v>0</v>
      </c>
      <c r="I109" s="58">
        <f>I110+I111</f>
        <v>0</v>
      </c>
      <c r="J109" s="58">
        <f>J110+J111</f>
        <v>0</v>
      </c>
      <c r="K109" s="58">
        <f>K110+K111</f>
        <v>0</v>
      </c>
      <c r="L109" s="13"/>
      <c r="M109" s="24"/>
      <c r="P109" s="25"/>
    </row>
    <row r="110" spans="3:16" ht="12.75" x14ac:dyDescent="0.2">
      <c r="C110" s="6"/>
      <c r="D110" s="55" t="s">
        <v>230</v>
      </c>
      <c r="E110" s="59" t="s">
        <v>215</v>
      </c>
      <c r="F110" s="22" t="s">
        <v>231</v>
      </c>
      <c r="G110" s="23">
        <f t="shared" si="0"/>
        <v>0</v>
      </c>
      <c r="H110" s="56"/>
      <c r="I110" s="56"/>
      <c r="J110" s="56"/>
      <c r="K110" s="56"/>
      <c r="L110" s="13"/>
      <c r="M110" s="24"/>
      <c r="P110" s="25"/>
    </row>
    <row r="111" spans="3:16" ht="12.75" x14ac:dyDescent="0.2">
      <c r="C111" s="6"/>
      <c r="D111" s="55" t="s">
        <v>232</v>
      </c>
      <c r="E111" s="59" t="s">
        <v>218</v>
      </c>
      <c r="F111" s="22" t="s">
        <v>233</v>
      </c>
      <c r="G111" s="23">
        <f t="shared" si="0"/>
        <v>0</v>
      </c>
      <c r="H111" s="56"/>
      <c r="I111" s="56"/>
      <c r="J111" s="56"/>
      <c r="K111" s="56"/>
      <c r="L111" s="13"/>
      <c r="M111" s="24"/>
      <c r="P111" s="25"/>
    </row>
    <row r="112" spans="3:16" ht="12.75" x14ac:dyDescent="0.2">
      <c r="C112" s="6"/>
      <c r="D112" s="55" t="s">
        <v>234</v>
      </c>
      <c r="E112" s="49" t="s">
        <v>235</v>
      </c>
      <c r="F112" s="22" t="s">
        <v>236</v>
      </c>
      <c r="G112" s="23">
        <f t="shared" si="0"/>
        <v>0</v>
      </c>
      <c r="H112" s="56"/>
      <c r="I112" s="56"/>
      <c r="J112" s="56"/>
      <c r="K112" s="56"/>
      <c r="L112" s="13"/>
      <c r="M112" s="24"/>
      <c r="P112" s="25"/>
    </row>
    <row r="113" spans="3:16" ht="12.75" x14ac:dyDescent="0.2">
      <c r="C113" s="6"/>
      <c r="D113" s="55" t="s">
        <v>237</v>
      </c>
      <c r="E113" s="49" t="s">
        <v>238</v>
      </c>
      <c r="F113" s="22" t="s">
        <v>239</v>
      </c>
      <c r="G113" s="23">
        <f t="shared" si="0"/>
        <v>0</v>
      </c>
      <c r="H113" s="56"/>
      <c r="I113" s="56"/>
      <c r="J113" s="56"/>
      <c r="K113" s="56"/>
      <c r="L113" s="13"/>
      <c r="M113" s="24"/>
      <c r="P113" s="25"/>
    </row>
    <row r="114" spans="3:16" ht="33.75" x14ac:dyDescent="0.2">
      <c r="C114" s="6"/>
      <c r="D114" s="55" t="s">
        <v>240</v>
      </c>
      <c r="E114" s="49" t="s">
        <v>241</v>
      </c>
      <c r="F114" s="22" t="s">
        <v>242</v>
      </c>
      <c r="G114" s="23">
        <f t="shared" si="0"/>
        <v>0</v>
      </c>
      <c r="H114" s="56"/>
      <c r="I114" s="56"/>
      <c r="J114" s="56"/>
      <c r="K114" s="56"/>
      <c r="L114" s="13"/>
      <c r="M114" s="24"/>
      <c r="P114" s="25"/>
    </row>
    <row r="115" spans="3:16" ht="22.5" x14ac:dyDescent="0.2">
      <c r="C115" s="6"/>
      <c r="D115" s="55" t="s">
        <v>243</v>
      </c>
      <c r="E115" s="49" t="s">
        <v>244</v>
      </c>
      <c r="F115" s="22" t="s">
        <v>245</v>
      </c>
      <c r="G115" s="23">
        <f t="shared" si="0"/>
        <v>0</v>
      </c>
      <c r="H115" s="56"/>
      <c r="I115" s="56"/>
      <c r="J115" s="56"/>
      <c r="K115" s="56"/>
      <c r="L115" s="13"/>
      <c r="M115" s="24"/>
      <c r="P115" s="25"/>
    </row>
    <row r="116" spans="3:16" ht="12.75" x14ac:dyDescent="0.2">
      <c r="C116" s="6"/>
      <c r="D116" s="55" t="s">
        <v>246</v>
      </c>
      <c r="E116" s="26" t="s">
        <v>247</v>
      </c>
      <c r="F116" s="22" t="s">
        <v>248</v>
      </c>
      <c r="G116" s="23">
        <f t="shared" si="0"/>
        <v>0</v>
      </c>
      <c r="H116" s="57">
        <f>H119</f>
        <v>0</v>
      </c>
      <c r="I116" s="57">
        <f>I119</f>
        <v>0</v>
      </c>
      <c r="J116" s="57">
        <f>J119</f>
        <v>0</v>
      </c>
      <c r="K116" s="57">
        <f>K119</f>
        <v>0</v>
      </c>
      <c r="L116" s="13"/>
      <c r="M116" s="24"/>
      <c r="P116" s="25">
        <v>770</v>
      </c>
    </row>
    <row r="117" spans="3:16" ht="12.75" x14ac:dyDescent="0.2">
      <c r="C117" s="6"/>
      <c r="D117" s="55" t="s">
        <v>249</v>
      </c>
      <c r="E117" s="48" t="s">
        <v>191</v>
      </c>
      <c r="F117" s="22" t="s">
        <v>250</v>
      </c>
      <c r="G117" s="23">
        <f t="shared" si="0"/>
        <v>0</v>
      </c>
      <c r="H117" s="56"/>
      <c r="I117" s="56"/>
      <c r="J117" s="56"/>
      <c r="K117" s="56"/>
      <c r="L117" s="13"/>
      <c r="M117" s="24"/>
      <c r="P117" s="25">
        <v>780</v>
      </c>
    </row>
    <row r="118" spans="3:16" ht="12.75" x14ac:dyDescent="0.2">
      <c r="C118" s="6"/>
      <c r="D118" s="55" t="s">
        <v>251</v>
      </c>
      <c r="E118" s="49" t="s">
        <v>252</v>
      </c>
      <c r="F118" s="22" t="s">
        <v>253</v>
      </c>
      <c r="G118" s="23">
        <f t="shared" si="0"/>
        <v>0</v>
      </c>
      <c r="H118" s="56"/>
      <c r="I118" s="56"/>
      <c r="J118" s="56"/>
      <c r="K118" s="56"/>
      <c r="L118" s="13"/>
      <c r="M118" s="24"/>
      <c r="P118" s="25"/>
    </row>
    <row r="119" spans="3:16" ht="12.75" x14ac:dyDescent="0.2">
      <c r="C119" s="6"/>
      <c r="D119" s="55" t="s">
        <v>254</v>
      </c>
      <c r="E119" s="48" t="s">
        <v>197</v>
      </c>
      <c r="F119" s="22" t="s">
        <v>255</v>
      </c>
      <c r="G119" s="23">
        <f t="shared" si="0"/>
        <v>0</v>
      </c>
      <c r="H119" s="56"/>
      <c r="I119" s="56"/>
      <c r="J119" s="56"/>
      <c r="K119" s="56"/>
      <c r="L119" s="13"/>
      <c r="M119" s="24"/>
      <c r="P119" s="25">
        <v>790</v>
      </c>
    </row>
    <row r="120" spans="3:16" ht="12.75" x14ac:dyDescent="0.2">
      <c r="C120" s="6"/>
      <c r="D120" s="55" t="s">
        <v>256</v>
      </c>
      <c r="E120" s="46" t="s">
        <v>257</v>
      </c>
      <c r="F120" s="22" t="s">
        <v>258</v>
      </c>
      <c r="G120" s="23">
        <f t="shared" si="0"/>
        <v>11387.689</v>
      </c>
      <c r="H120" s="57">
        <f>SUM(H121:H122)</f>
        <v>0</v>
      </c>
      <c r="I120" s="57">
        <f>SUM(I121:I122)</f>
        <v>0</v>
      </c>
      <c r="J120" s="57">
        <f>SUM(J121:J122)</f>
        <v>1216.057</v>
      </c>
      <c r="K120" s="57">
        <f>SUM(K121:K122)</f>
        <v>10171.632</v>
      </c>
      <c r="L120" s="13"/>
      <c r="M120" s="24"/>
      <c r="P120" s="25"/>
    </row>
    <row r="121" spans="3:16" ht="12.75" x14ac:dyDescent="0.2">
      <c r="C121" s="6"/>
      <c r="D121" s="55" t="s">
        <v>259</v>
      </c>
      <c r="E121" s="26" t="s">
        <v>185</v>
      </c>
      <c r="F121" s="22" t="s">
        <v>260</v>
      </c>
      <c r="G121" s="23">
        <f t="shared" si="0"/>
        <v>11387.689</v>
      </c>
      <c r="H121" s="56"/>
      <c r="I121" s="56"/>
      <c r="J121" s="56">
        <f>J36</f>
        <v>1216.057</v>
      </c>
      <c r="K121" s="56">
        <f>K36</f>
        <v>10171.632</v>
      </c>
      <c r="L121" s="13"/>
      <c r="M121" s="24"/>
      <c r="P121" s="25"/>
    </row>
    <row r="122" spans="3:16" ht="12.75" x14ac:dyDescent="0.2">
      <c r="C122" s="6"/>
      <c r="D122" s="55" t="s">
        <v>261</v>
      </c>
      <c r="E122" s="26" t="s">
        <v>188</v>
      </c>
      <c r="F122" s="22" t="s">
        <v>262</v>
      </c>
      <c r="G122" s="23">
        <f t="shared" si="0"/>
        <v>0</v>
      </c>
      <c r="H122" s="57">
        <f>H124</f>
        <v>0</v>
      </c>
      <c r="I122" s="57">
        <f>I124</f>
        <v>0</v>
      </c>
      <c r="J122" s="57">
        <f>J124</f>
        <v>0</v>
      </c>
      <c r="K122" s="57">
        <f>K124</f>
        <v>0</v>
      </c>
      <c r="L122" s="13"/>
      <c r="M122" s="24"/>
      <c r="P122" s="25"/>
    </row>
    <row r="123" spans="3:16" ht="12.75" x14ac:dyDescent="0.2">
      <c r="C123" s="6"/>
      <c r="D123" s="55" t="s">
        <v>263</v>
      </c>
      <c r="E123" s="48" t="s">
        <v>264</v>
      </c>
      <c r="F123" s="22" t="s">
        <v>265</v>
      </c>
      <c r="G123" s="23">
        <f t="shared" si="0"/>
        <v>0</v>
      </c>
      <c r="H123" s="56"/>
      <c r="I123" s="56"/>
      <c r="J123" s="56"/>
      <c r="K123" s="56"/>
      <c r="L123" s="13"/>
      <c r="M123" s="24"/>
      <c r="P123" s="25"/>
    </row>
    <row r="124" spans="3:16" ht="12.75" x14ac:dyDescent="0.2">
      <c r="C124" s="6"/>
      <c r="D124" s="55" t="s">
        <v>266</v>
      </c>
      <c r="E124" s="48" t="s">
        <v>197</v>
      </c>
      <c r="F124" s="22" t="s">
        <v>267</v>
      </c>
      <c r="G124" s="23">
        <f t="shared" si="0"/>
        <v>0</v>
      </c>
      <c r="H124" s="56"/>
      <c r="I124" s="56"/>
      <c r="J124" s="56"/>
      <c r="K124" s="56"/>
      <c r="L124" s="13"/>
      <c r="M124" s="24"/>
      <c r="P124" s="25"/>
    </row>
    <row r="125" spans="3:16" ht="12.75" x14ac:dyDescent="0.2">
      <c r="C125" s="6"/>
      <c r="D125" s="87" t="s">
        <v>268</v>
      </c>
      <c r="E125" s="88"/>
      <c r="F125" s="88"/>
      <c r="G125" s="88"/>
      <c r="H125" s="88"/>
      <c r="I125" s="88"/>
      <c r="J125" s="88"/>
      <c r="K125" s="89"/>
      <c r="L125" s="13"/>
      <c r="M125" s="24"/>
      <c r="P125" s="60"/>
    </row>
    <row r="126" spans="3:16" ht="22.5" x14ac:dyDescent="0.2">
      <c r="C126" s="6"/>
      <c r="D126" s="55" t="s">
        <v>269</v>
      </c>
      <c r="E126" s="21" t="s">
        <v>270</v>
      </c>
      <c r="F126" s="22" t="s">
        <v>271</v>
      </c>
      <c r="G126" s="23">
        <f t="shared" si="0"/>
        <v>0</v>
      </c>
      <c r="H126" s="57">
        <f>SUM( H127:H128)</f>
        <v>0</v>
      </c>
      <c r="I126" s="57">
        <f>SUM( I127:I128)</f>
        <v>0</v>
      </c>
      <c r="J126" s="57">
        <f>SUM( J127:J128)</f>
        <v>0</v>
      </c>
      <c r="K126" s="57">
        <f>SUM( K127:K128)</f>
        <v>0</v>
      </c>
      <c r="L126" s="13"/>
      <c r="M126" s="24"/>
      <c r="P126" s="25">
        <v>800</v>
      </c>
    </row>
    <row r="127" spans="3:16" ht="12.75" x14ac:dyDescent="0.2">
      <c r="C127" s="6"/>
      <c r="D127" s="55" t="s">
        <v>272</v>
      </c>
      <c r="E127" s="26" t="s">
        <v>185</v>
      </c>
      <c r="F127" s="22" t="s">
        <v>273</v>
      </c>
      <c r="G127" s="23">
        <f t="shared" si="0"/>
        <v>0</v>
      </c>
      <c r="H127" s="56"/>
      <c r="I127" s="56"/>
      <c r="J127" s="56"/>
      <c r="K127" s="56"/>
      <c r="L127" s="13"/>
      <c r="M127" s="24"/>
      <c r="P127" s="25">
        <v>810</v>
      </c>
    </row>
    <row r="128" spans="3:16" ht="12.75" x14ac:dyDescent="0.2">
      <c r="C128" s="6"/>
      <c r="D128" s="55" t="s">
        <v>274</v>
      </c>
      <c r="E128" s="26" t="s">
        <v>188</v>
      </c>
      <c r="F128" s="22" t="s">
        <v>275</v>
      </c>
      <c r="G128" s="23">
        <f t="shared" si="0"/>
        <v>0</v>
      </c>
      <c r="H128" s="57">
        <f>H129+H131</f>
        <v>0</v>
      </c>
      <c r="I128" s="57">
        <f>I129+I131</f>
        <v>0</v>
      </c>
      <c r="J128" s="57">
        <f>J129+J131</f>
        <v>0</v>
      </c>
      <c r="K128" s="57">
        <f>K129+K131</f>
        <v>0</v>
      </c>
      <c r="L128" s="13"/>
      <c r="M128" s="24"/>
      <c r="P128" s="25">
        <v>820</v>
      </c>
    </row>
    <row r="129" spans="3:16" ht="12.75" x14ac:dyDescent="0.2">
      <c r="C129" s="6"/>
      <c r="D129" s="55" t="s">
        <v>276</v>
      </c>
      <c r="E129" s="48" t="s">
        <v>277</v>
      </c>
      <c r="F129" s="22" t="s">
        <v>278</v>
      </c>
      <c r="G129" s="23">
        <f t="shared" si="0"/>
        <v>0</v>
      </c>
      <c r="H129" s="56"/>
      <c r="I129" s="56"/>
      <c r="J129" s="56"/>
      <c r="K129" s="56"/>
      <c r="L129" s="13"/>
      <c r="M129" s="24"/>
      <c r="P129" s="25">
        <v>830</v>
      </c>
    </row>
    <row r="130" spans="3:16" ht="12.75" x14ac:dyDescent="0.2">
      <c r="C130" s="6"/>
      <c r="D130" s="55" t="s">
        <v>279</v>
      </c>
      <c r="E130" s="49" t="s">
        <v>280</v>
      </c>
      <c r="F130" s="22" t="s">
        <v>281</v>
      </c>
      <c r="G130" s="23">
        <f t="shared" si="0"/>
        <v>0</v>
      </c>
      <c r="H130" s="56"/>
      <c r="I130" s="56"/>
      <c r="J130" s="56"/>
      <c r="K130" s="56"/>
      <c r="L130" s="13"/>
      <c r="M130" s="24"/>
      <c r="P130" s="60"/>
    </row>
    <row r="131" spans="3:16" ht="12.75" x14ac:dyDescent="0.2">
      <c r="C131" s="6"/>
      <c r="D131" s="55" t="s">
        <v>282</v>
      </c>
      <c r="E131" s="48" t="s">
        <v>283</v>
      </c>
      <c r="F131" s="22" t="s">
        <v>284</v>
      </c>
      <c r="G131" s="23">
        <f t="shared" si="0"/>
        <v>0</v>
      </c>
      <c r="H131" s="56"/>
      <c r="I131" s="56"/>
      <c r="J131" s="56"/>
      <c r="K131" s="56"/>
      <c r="L131" s="13"/>
      <c r="M131" s="24"/>
      <c r="P131" s="25">
        <v>840</v>
      </c>
    </row>
    <row r="132" spans="3:16" ht="12.75" x14ac:dyDescent="0.2">
      <c r="C132" s="6"/>
      <c r="D132" s="55" t="s">
        <v>30</v>
      </c>
      <c r="E132" s="21" t="s">
        <v>285</v>
      </c>
      <c r="F132" s="22" t="s">
        <v>286</v>
      </c>
      <c r="G132" s="23">
        <f t="shared" si="0"/>
        <v>0</v>
      </c>
      <c r="H132" s="58">
        <f>SUM( H133+H138)</f>
        <v>0</v>
      </c>
      <c r="I132" s="58">
        <f>SUM( I133+I138)</f>
        <v>0</v>
      </c>
      <c r="J132" s="58">
        <f>SUM( J133+J138)</f>
        <v>0</v>
      </c>
      <c r="K132" s="58">
        <f>SUM( K133+K138)</f>
        <v>0</v>
      </c>
      <c r="L132" s="61"/>
      <c r="M132" s="24"/>
      <c r="P132" s="25">
        <v>850</v>
      </c>
    </row>
    <row r="133" spans="3:16" ht="12.75" x14ac:dyDescent="0.2">
      <c r="C133" s="6"/>
      <c r="D133" s="55" t="s">
        <v>287</v>
      </c>
      <c r="E133" s="26" t="s">
        <v>185</v>
      </c>
      <c r="F133" s="22" t="s">
        <v>288</v>
      </c>
      <c r="G133" s="23">
        <f t="shared" ref="G133:G146" si="1">SUM(H133:K133)</f>
        <v>0</v>
      </c>
      <c r="H133" s="58">
        <f>SUM( H134:H135)</f>
        <v>0</v>
      </c>
      <c r="I133" s="58">
        <f>SUM( I134:I135)</f>
        <v>0</v>
      </c>
      <c r="J133" s="58">
        <f>SUM( J134:J135)</f>
        <v>0</v>
      </c>
      <c r="K133" s="58">
        <f>SUM( K134:K135)</f>
        <v>0</v>
      </c>
      <c r="L133" s="61"/>
      <c r="M133" s="24"/>
      <c r="P133" s="25">
        <v>860</v>
      </c>
    </row>
    <row r="134" spans="3:16" ht="12.75" x14ac:dyDescent="0.2">
      <c r="C134" s="6"/>
      <c r="D134" s="55" t="s">
        <v>289</v>
      </c>
      <c r="E134" s="48" t="s">
        <v>206</v>
      </c>
      <c r="F134" s="22" t="s">
        <v>290</v>
      </c>
      <c r="G134" s="23">
        <f t="shared" si="1"/>
        <v>0</v>
      </c>
      <c r="H134" s="62"/>
      <c r="I134" s="62"/>
      <c r="J134" s="62"/>
      <c r="K134" s="62"/>
      <c r="L134" s="61"/>
      <c r="M134" s="24"/>
      <c r="P134" s="25"/>
    </row>
    <row r="135" spans="3:16" ht="12.75" x14ac:dyDescent="0.2">
      <c r="C135" s="6"/>
      <c r="D135" s="55" t="s">
        <v>291</v>
      </c>
      <c r="E135" s="48" t="s">
        <v>209</v>
      </c>
      <c r="F135" s="22" t="s">
        <v>292</v>
      </c>
      <c r="G135" s="23">
        <f t="shared" si="1"/>
        <v>0</v>
      </c>
      <c r="H135" s="58">
        <f>H136+H137</f>
        <v>0</v>
      </c>
      <c r="I135" s="58">
        <f>I136+I137</f>
        <v>0</v>
      </c>
      <c r="J135" s="58">
        <f>J136+J137</f>
        <v>0</v>
      </c>
      <c r="K135" s="58">
        <f>K136+K137</f>
        <v>0</v>
      </c>
      <c r="L135" s="61"/>
      <c r="M135" s="24"/>
      <c r="P135" s="25"/>
    </row>
    <row r="136" spans="3:16" ht="12.75" x14ac:dyDescent="0.2">
      <c r="C136" s="6"/>
      <c r="D136" s="55" t="s">
        <v>293</v>
      </c>
      <c r="E136" s="49" t="s">
        <v>215</v>
      </c>
      <c r="F136" s="22" t="s">
        <v>294</v>
      </c>
      <c r="G136" s="23">
        <f t="shared" si="1"/>
        <v>0</v>
      </c>
      <c r="H136" s="62"/>
      <c r="I136" s="62"/>
      <c r="J136" s="62"/>
      <c r="K136" s="62"/>
      <c r="L136" s="61"/>
      <c r="M136" s="24"/>
      <c r="P136" s="25"/>
    </row>
    <row r="137" spans="3:16" ht="12.75" x14ac:dyDescent="0.2">
      <c r="C137" s="6"/>
      <c r="D137" s="55" t="s">
        <v>295</v>
      </c>
      <c r="E137" s="49" t="s">
        <v>296</v>
      </c>
      <c r="F137" s="22" t="s">
        <v>297</v>
      </c>
      <c r="G137" s="23">
        <f t="shared" si="1"/>
        <v>0</v>
      </c>
      <c r="H137" s="62"/>
      <c r="I137" s="62"/>
      <c r="J137" s="62"/>
      <c r="K137" s="62"/>
      <c r="L137" s="61"/>
      <c r="M137" s="24"/>
      <c r="P137" s="25"/>
    </row>
    <row r="138" spans="3:16" ht="12.75" x14ac:dyDescent="0.2">
      <c r="C138" s="6"/>
      <c r="D138" s="55" t="s">
        <v>298</v>
      </c>
      <c r="E138" s="26" t="s">
        <v>247</v>
      </c>
      <c r="F138" s="22" t="s">
        <v>299</v>
      </c>
      <c r="G138" s="23">
        <f t="shared" si="1"/>
        <v>0</v>
      </c>
      <c r="H138" s="58">
        <f>H139+H141</f>
        <v>0</v>
      </c>
      <c r="I138" s="58">
        <f>I139+I141</f>
        <v>0</v>
      </c>
      <c r="J138" s="58">
        <f>J139+J141</f>
        <v>0</v>
      </c>
      <c r="K138" s="58">
        <f>K139+K141</f>
        <v>0</v>
      </c>
      <c r="L138" s="61"/>
      <c r="M138" s="24"/>
      <c r="P138" s="25">
        <v>870</v>
      </c>
    </row>
    <row r="139" spans="3:16" ht="12.75" x14ac:dyDescent="0.2">
      <c r="C139" s="6"/>
      <c r="D139" s="55" t="s">
        <v>300</v>
      </c>
      <c r="E139" s="48" t="s">
        <v>277</v>
      </c>
      <c r="F139" s="22" t="s">
        <v>301</v>
      </c>
      <c r="G139" s="23">
        <f t="shared" si="1"/>
        <v>0</v>
      </c>
      <c r="H139" s="56"/>
      <c r="I139" s="56"/>
      <c r="J139" s="56"/>
      <c r="K139" s="56"/>
      <c r="L139" s="61"/>
      <c r="M139" s="24"/>
      <c r="P139" s="25">
        <v>880</v>
      </c>
    </row>
    <row r="140" spans="3:16" ht="12.75" x14ac:dyDescent="0.2">
      <c r="C140" s="6"/>
      <c r="D140" s="55" t="s">
        <v>302</v>
      </c>
      <c r="E140" s="49" t="s">
        <v>280</v>
      </c>
      <c r="F140" s="22" t="s">
        <v>303</v>
      </c>
      <c r="G140" s="23">
        <f t="shared" si="1"/>
        <v>0</v>
      </c>
      <c r="H140" s="56"/>
      <c r="I140" s="56"/>
      <c r="J140" s="56"/>
      <c r="K140" s="56"/>
      <c r="L140" s="61"/>
      <c r="M140" s="24"/>
      <c r="P140" s="25"/>
    </row>
    <row r="141" spans="3:16" ht="12.75" x14ac:dyDescent="0.2">
      <c r="C141" s="6"/>
      <c r="D141" s="55" t="s">
        <v>304</v>
      </c>
      <c r="E141" s="48" t="s">
        <v>283</v>
      </c>
      <c r="F141" s="22" t="s">
        <v>305</v>
      </c>
      <c r="G141" s="23">
        <f t="shared" si="1"/>
        <v>0</v>
      </c>
      <c r="H141" s="63"/>
      <c r="I141" s="63"/>
      <c r="J141" s="63"/>
      <c r="K141" s="63"/>
      <c r="L141" s="61"/>
      <c r="M141" s="24"/>
      <c r="P141" s="25">
        <v>890</v>
      </c>
    </row>
    <row r="142" spans="3:16" ht="12.75" x14ac:dyDescent="0.2">
      <c r="C142" s="6"/>
      <c r="D142" s="55" t="s">
        <v>306</v>
      </c>
      <c r="E142" s="21" t="s">
        <v>307</v>
      </c>
      <c r="F142" s="22" t="s">
        <v>308</v>
      </c>
      <c r="G142" s="23">
        <f t="shared" si="1"/>
        <v>16580.475183999999</v>
      </c>
      <c r="H142" s="64">
        <f>SUM( H143:H144)</f>
        <v>0</v>
      </c>
      <c r="I142" s="64">
        <f>SUM( I143:I144)</f>
        <v>0</v>
      </c>
      <c r="J142" s="64">
        <f>SUM( J143:J144)</f>
        <v>1770.578992</v>
      </c>
      <c r="K142" s="64">
        <f>SUM( K143:K144)</f>
        <v>14809.896191999998</v>
      </c>
      <c r="L142" s="61"/>
      <c r="M142" s="24"/>
      <c r="P142" s="25">
        <v>900</v>
      </c>
    </row>
    <row r="143" spans="3:16" ht="12.75" x14ac:dyDescent="0.2">
      <c r="C143" s="6"/>
      <c r="D143" s="55" t="s">
        <v>309</v>
      </c>
      <c r="E143" s="26" t="s">
        <v>185</v>
      </c>
      <c r="F143" s="22" t="s">
        <v>310</v>
      </c>
      <c r="G143" s="23">
        <f t="shared" si="1"/>
        <v>16580.475183999999</v>
      </c>
      <c r="H143" s="63"/>
      <c r="I143" s="63"/>
      <c r="J143" s="65">
        <f>J121*1.456</f>
        <v>1770.578992</v>
      </c>
      <c r="K143" s="65">
        <f>K121*1.456</f>
        <v>14809.896191999998</v>
      </c>
      <c r="L143" s="61"/>
      <c r="M143" s="24"/>
      <c r="P143" s="25"/>
    </row>
    <row r="144" spans="3:16" ht="12.75" x14ac:dyDescent="0.2">
      <c r="C144" s="6"/>
      <c r="D144" s="55" t="s">
        <v>311</v>
      </c>
      <c r="E144" s="26" t="s">
        <v>188</v>
      </c>
      <c r="F144" s="22" t="s">
        <v>312</v>
      </c>
      <c r="G144" s="23">
        <f t="shared" si="1"/>
        <v>0</v>
      </c>
      <c r="H144" s="64">
        <f>H145+H146</f>
        <v>0</v>
      </c>
      <c r="I144" s="64">
        <f>I145+I146</f>
        <v>0</v>
      </c>
      <c r="J144" s="64">
        <f>J145+J146</f>
        <v>0</v>
      </c>
      <c r="K144" s="64">
        <f>K145+K146</f>
        <v>0</v>
      </c>
      <c r="L144" s="61"/>
      <c r="M144" s="24"/>
      <c r="P144" s="25"/>
    </row>
    <row r="145" spans="3:19" ht="12.75" x14ac:dyDescent="0.2">
      <c r="C145" s="6"/>
      <c r="D145" s="55" t="s">
        <v>313</v>
      </c>
      <c r="E145" s="48" t="s">
        <v>314</v>
      </c>
      <c r="F145" s="22" t="s">
        <v>315</v>
      </c>
      <c r="G145" s="23">
        <f t="shared" si="1"/>
        <v>0</v>
      </c>
      <c r="H145" s="63"/>
      <c r="I145" s="63"/>
      <c r="J145" s="63"/>
      <c r="K145" s="63"/>
      <c r="L145" s="61"/>
      <c r="M145" s="24"/>
      <c r="P145" s="25" t="s">
        <v>316</v>
      </c>
    </row>
    <row r="146" spans="3:19" ht="12.75" x14ac:dyDescent="0.2">
      <c r="C146" s="6"/>
      <c r="D146" s="55" t="s">
        <v>317</v>
      </c>
      <c r="E146" s="48" t="s">
        <v>283</v>
      </c>
      <c r="F146" s="22" t="s">
        <v>318</v>
      </c>
      <c r="G146" s="23">
        <f t="shared" si="1"/>
        <v>0</v>
      </c>
      <c r="H146" s="63"/>
      <c r="I146" s="63"/>
      <c r="J146" s="63"/>
      <c r="K146" s="66"/>
      <c r="L146" s="61"/>
      <c r="M146" s="24"/>
      <c r="P146" s="25" t="s">
        <v>319</v>
      </c>
    </row>
    <row r="147" spans="3:19" x14ac:dyDescent="0.25">
      <c r="D147" s="11"/>
      <c r="E147" s="67"/>
      <c r="F147" s="67"/>
      <c r="G147" s="67"/>
      <c r="H147" s="67"/>
      <c r="I147" s="67"/>
      <c r="J147" s="67"/>
      <c r="K147" s="68"/>
      <c r="L147" s="68"/>
      <c r="M147" s="68"/>
      <c r="N147" s="68"/>
      <c r="O147" s="68"/>
      <c r="P147" s="68"/>
      <c r="Q147" s="68"/>
      <c r="R147" s="69"/>
      <c r="S147" s="69"/>
    </row>
    <row r="148" spans="3:19" ht="12.75" x14ac:dyDescent="0.2">
      <c r="E148" s="24" t="s">
        <v>320</v>
      </c>
      <c r="F148" s="79" t="str">
        <f>IF([1]Титульный!G45="","",[1]Титульный!G45)</f>
        <v>Коммерческий директор</v>
      </c>
      <c r="G148" s="79"/>
      <c r="H148" s="70"/>
      <c r="I148" s="79" t="str">
        <f>IF([1]Титульный!G44="","",[1]Титульный!G44)</f>
        <v>Байков Алексей Александрович</v>
      </c>
      <c r="J148" s="79"/>
      <c r="K148" s="79"/>
      <c r="L148" s="70"/>
      <c r="M148" s="71"/>
      <c r="N148" s="71"/>
      <c r="O148" s="72"/>
      <c r="P148" s="68"/>
      <c r="Q148" s="68"/>
      <c r="R148" s="69"/>
      <c r="S148" s="69"/>
    </row>
    <row r="149" spans="3:19" ht="12.75" x14ac:dyDescent="0.2">
      <c r="E149" s="73" t="s">
        <v>321</v>
      </c>
      <c r="F149" s="78" t="s">
        <v>322</v>
      </c>
      <c r="G149" s="78"/>
      <c r="H149" s="72"/>
      <c r="I149" s="78" t="s">
        <v>323</v>
      </c>
      <c r="J149" s="78"/>
      <c r="K149" s="78"/>
      <c r="L149" s="72"/>
      <c r="M149" s="78" t="s">
        <v>324</v>
      </c>
      <c r="N149" s="78"/>
      <c r="O149" s="24"/>
      <c r="P149" s="68"/>
      <c r="Q149" s="68"/>
      <c r="R149" s="69"/>
      <c r="S149" s="69"/>
    </row>
    <row r="150" spans="3:19" ht="12.75" x14ac:dyDescent="0.2">
      <c r="E150" s="73" t="s">
        <v>325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68"/>
      <c r="Q150" s="68"/>
      <c r="R150" s="69"/>
      <c r="S150" s="69"/>
    </row>
    <row r="151" spans="3:19" ht="12.75" x14ac:dyDescent="0.2">
      <c r="E151" s="73" t="s">
        <v>326</v>
      </c>
      <c r="F151" s="79" t="str">
        <f>IF([1]Титульный!G46="","",[1]Титульный!G46)</f>
        <v>(495) 637 3220</v>
      </c>
      <c r="G151" s="79"/>
      <c r="H151" s="79"/>
      <c r="I151" s="24"/>
      <c r="J151" s="73" t="s">
        <v>327</v>
      </c>
      <c r="K151" s="76"/>
      <c r="L151" s="24"/>
      <c r="M151" s="24"/>
      <c r="N151" s="24"/>
      <c r="O151" s="24"/>
      <c r="P151" s="68"/>
      <c r="Q151" s="68"/>
      <c r="R151" s="69"/>
      <c r="S151" s="69"/>
    </row>
    <row r="152" spans="3:19" ht="12.75" x14ac:dyDescent="0.2">
      <c r="E152" s="24" t="s">
        <v>328</v>
      </c>
      <c r="F152" s="80" t="s">
        <v>329</v>
      </c>
      <c r="G152" s="80"/>
      <c r="H152" s="80"/>
      <c r="I152" s="24"/>
      <c r="J152" s="75" t="s">
        <v>330</v>
      </c>
      <c r="K152" s="75"/>
      <c r="L152" s="24"/>
      <c r="M152" s="24"/>
      <c r="N152" s="24"/>
      <c r="O152" s="24"/>
      <c r="P152" s="68"/>
      <c r="Q152" s="68"/>
      <c r="R152" s="69"/>
      <c r="S152" s="69"/>
    </row>
    <row r="153" spans="3:19" x14ac:dyDescent="0.25"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9"/>
      <c r="S153" s="69"/>
    </row>
    <row r="154" spans="3:19" x14ac:dyDescent="0.25"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9"/>
      <c r="S154" s="69"/>
    </row>
    <row r="155" spans="3:19" x14ac:dyDescent="0.25"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9"/>
      <c r="S155" s="69"/>
    </row>
    <row r="156" spans="3:19" x14ac:dyDescent="0.25"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9"/>
      <c r="S156" s="69"/>
    </row>
    <row r="157" spans="3:19" x14ac:dyDescent="0.25"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9"/>
      <c r="S157" s="69"/>
    </row>
    <row r="158" spans="3:19" x14ac:dyDescent="0.25"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9"/>
      <c r="S158" s="69"/>
    </row>
    <row r="159" spans="3:19" x14ac:dyDescent="0.25"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  <c r="S159" s="69"/>
    </row>
    <row r="160" spans="3:19" x14ac:dyDescent="0.25"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9"/>
      <c r="S160" s="69"/>
    </row>
    <row r="161" spans="5:19" x14ac:dyDescent="0.25"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9"/>
      <c r="S161" s="69"/>
    </row>
    <row r="162" spans="5:19" x14ac:dyDescent="0.25"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9"/>
      <c r="S162" s="69"/>
    </row>
    <row r="163" spans="5:19" x14ac:dyDescent="0.25"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9"/>
      <c r="S163" s="69"/>
    </row>
    <row r="164" spans="5:19" x14ac:dyDescent="0.25"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9"/>
      <c r="S164" s="69"/>
    </row>
    <row r="165" spans="5:19" x14ac:dyDescent="0.25"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9"/>
      <c r="S165" s="69"/>
    </row>
    <row r="166" spans="5:19" x14ac:dyDescent="0.25"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9"/>
      <c r="S166" s="69"/>
    </row>
    <row r="167" spans="5:19" x14ac:dyDescent="0.25"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9"/>
      <c r="S167" s="69"/>
    </row>
    <row r="168" spans="5:19" x14ac:dyDescent="0.25"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9"/>
      <c r="S168" s="69"/>
    </row>
    <row r="169" spans="5:19" x14ac:dyDescent="0.25"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9"/>
      <c r="S169" s="69"/>
    </row>
    <row r="170" spans="5:19" x14ac:dyDescent="0.25"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9"/>
      <c r="S170" s="69"/>
    </row>
    <row r="171" spans="5:19" x14ac:dyDescent="0.25"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9"/>
      <c r="S171" s="69"/>
    </row>
    <row r="172" spans="5:19" x14ac:dyDescent="0.25"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9"/>
      <c r="S172" s="69"/>
    </row>
    <row r="173" spans="5:19" x14ac:dyDescent="0.25"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9"/>
      <c r="S173" s="69"/>
    </row>
    <row r="174" spans="5:19" x14ac:dyDescent="0.25"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9"/>
      <c r="S174" s="69"/>
    </row>
    <row r="175" spans="5:19" x14ac:dyDescent="0.25"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9"/>
      <c r="S175" s="69"/>
    </row>
    <row r="176" spans="5:19" x14ac:dyDescent="0.25"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9"/>
      <c r="S176" s="69"/>
    </row>
    <row r="177" spans="5:19" x14ac:dyDescent="0.25"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9"/>
      <c r="S177" s="69"/>
    </row>
    <row r="178" spans="5:19" x14ac:dyDescent="0.25"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</row>
    <row r="179" spans="5:19" x14ac:dyDescent="0.25"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5:19" x14ac:dyDescent="0.25"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5:19" x14ac:dyDescent="0.25"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</sheetData>
  <mergeCells count="18">
    <mergeCell ref="F148:G148"/>
    <mergeCell ref="I148:K148"/>
    <mergeCell ref="D8:E8"/>
    <mergeCell ref="D11:D12"/>
    <mergeCell ref="E11:E12"/>
    <mergeCell ref="F11:F12"/>
    <mergeCell ref="G11:G12"/>
    <mergeCell ref="H11:K11"/>
    <mergeCell ref="D14:K14"/>
    <mergeCell ref="D51:K51"/>
    <mergeCell ref="D88:K88"/>
    <mergeCell ref="D92:K92"/>
    <mergeCell ref="D125:K125"/>
    <mergeCell ref="F149:G149"/>
    <mergeCell ref="I149:K149"/>
    <mergeCell ref="M149:N149"/>
    <mergeCell ref="F151:H151"/>
    <mergeCell ref="F152:H152"/>
  </mergeCells>
  <dataValidations count="2">
    <dataValidation type="decimal" allowBlank="1" showErrorMessage="1" errorTitle="Ошибка" error="Допускается ввод только действительных чисел!" sqref="G42:K50 G89:K91 G93:K124 G52:K55 G27:K40 G64:K77 G20:K21 G60:K62 G79:K87 G15:K18 G126:K146 G57:K58 G23:K25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25 E62"/>
  </dataValidation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81"/>
  <sheetViews>
    <sheetView tabSelected="1" view="pageBreakPreview" topLeftCell="C7" zoomScaleNormal="100" zoomScaleSheetLayoutView="100" workbookViewId="0">
      <selection activeCell="K8" sqref="K8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idden="1" x14ac:dyDescent="0.25">
      <c r="S1" s="2"/>
      <c r="T1" s="2"/>
      <c r="U1" s="2"/>
      <c r="V1" s="2"/>
      <c r="Y1" s="2"/>
      <c r="AN1" s="2"/>
      <c r="AO1" s="2"/>
      <c r="AP1" s="2"/>
      <c r="BC1" s="2"/>
      <c r="BF1" s="2"/>
      <c r="BI1" s="2"/>
      <c r="BJ1" s="2"/>
      <c r="BX1" s="2"/>
      <c r="BY1" s="2"/>
    </row>
    <row r="2" spans="1:77" hidden="1" x14ac:dyDescent="0.25"/>
    <row r="3" spans="1:77" hidden="1" x14ac:dyDescent="0.25"/>
    <row r="4" spans="1:77" hidden="1" x14ac:dyDescent="0.2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idden="1" x14ac:dyDescent="0.2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idden="1" x14ac:dyDescent="0.25">
      <c r="A6" s="5"/>
    </row>
    <row r="7" spans="1:77" ht="12" customHeight="1" x14ac:dyDescent="0.25">
      <c r="A7" s="5"/>
      <c r="D7" s="6"/>
      <c r="E7" s="6"/>
      <c r="F7" s="6"/>
      <c r="G7" s="6"/>
      <c r="H7" s="6"/>
      <c r="I7" s="6"/>
      <c r="J7" s="6"/>
      <c r="K7" s="7" t="s">
        <v>343</v>
      </c>
      <c r="Q7" s="8"/>
    </row>
    <row r="8" spans="1:77" ht="22.5" customHeight="1" x14ac:dyDescent="0.25">
      <c r="A8" s="5"/>
      <c r="D8" s="81" t="s">
        <v>11</v>
      </c>
      <c r="E8" s="8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77" x14ac:dyDescent="0.25">
      <c r="A9" s="5"/>
      <c r="D9" s="10" t="str">
        <f>IF(org="","Не определено",org)</f>
        <v>ЗАО "Коттон Вэй"</v>
      </c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77" ht="12" customHeight="1" x14ac:dyDescent="0.25">
      <c r="D10" s="11"/>
      <c r="E10" s="11"/>
      <c r="F10" s="6"/>
      <c r="G10" s="6"/>
      <c r="H10" s="6"/>
      <c r="I10" s="6"/>
      <c r="K10" s="12" t="s">
        <v>12</v>
      </c>
    </row>
    <row r="11" spans="1:77" ht="15" customHeight="1" x14ac:dyDescent="0.25">
      <c r="C11" s="6"/>
      <c r="D11" s="82" t="s">
        <v>13</v>
      </c>
      <c r="E11" s="84" t="s">
        <v>14</v>
      </c>
      <c r="F11" s="84" t="s">
        <v>15</v>
      </c>
      <c r="G11" s="84" t="s">
        <v>16</v>
      </c>
      <c r="H11" s="84" t="s">
        <v>17</v>
      </c>
      <c r="I11" s="84"/>
      <c r="J11" s="84"/>
      <c r="K11" s="86"/>
      <c r="L11" s="13"/>
    </row>
    <row r="12" spans="1:77" ht="15" customHeight="1" x14ac:dyDescent="0.25">
      <c r="C12" s="6"/>
      <c r="D12" s="83"/>
      <c r="E12" s="85"/>
      <c r="F12" s="85"/>
      <c r="G12" s="85"/>
      <c r="H12" s="77" t="s">
        <v>18</v>
      </c>
      <c r="I12" s="77" t="s">
        <v>19</v>
      </c>
      <c r="J12" s="77" t="s">
        <v>20</v>
      </c>
      <c r="K12" s="15" t="s">
        <v>21</v>
      </c>
      <c r="L12" s="13"/>
    </row>
    <row r="13" spans="1:77" ht="12" customHeight="1" x14ac:dyDescent="0.25">
      <c r="D13" s="16">
        <v>0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</row>
    <row r="14" spans="1:77" s="17" customFormat="1" ht="15" customHeight="1" x14ac:dyDescent="0.25">
      <c r="C14" s="18"/>
      <c r="D14" s="87" t="s">
        <v>22</v>
      </c>
      <c r="E14" s="88"/>
      <c r="F14" s="88"/>
      <c r="G14" s="88"/>
      <c r="H14" s="88"/>
      <c r="I14" s="88"/>
      <c r="J14" s="88"/>
      <c r="K14" s="89"/>
      <c r="L14" s="19"/>
    </row>
    <row r="15" spans="1:77" s="17" customFormat="1" ht="15" customHeight="1" x14ac:dyDescent="0.2">
      <c r="C15" s="18"/>
      <c r="D15" s="20" t="s">
        <v>23</v>
      </c>
      <c r="E15" s="21" t="s">
        <v>24</v>
      </c>
      <c r="F15" s="22">
        <v>10</v>
      </c>
      <c r="G15" s="23">
        <f>SUM(H15:K15)</f>
        <v>24446.718000000001</v>
      </c>
      <c r="H15" s="23">
        <f>H16+H17+H20+H23</f>
        <v>19112.012000000002</v>
      </c>
      <c r="I15" s="23">
        <f>I16+I17+I20+I23</f>
        <v>0</v>
      </c>
      <c r="J15" s="23">
        <f>J16+J17+J20+J23</f>
        <v>5334.7060000000001</v>
      </c>
      <c r="K15" s="23">
        <f>K16+K17+K20+K23</f>
        <v>0</v>
      </c>
      <c r="L15" s="19"/>
      <c r="M15" s="24"/>
      <c r="P15" s="25">
        <v>10</v>
      </c>
    </row>
    <row r="16" spans="1:77" s="17" customFormat="1" ht="15" customHeight="1" x14ac:dyDescent="0.2">
      <c r="C16" s="18"/>
      <c r="D16" s="20" t="s">
        <v>25</v>
      </c>
      <c r="E16" s="26" t="s">
        <v>26</v>
      </c>
      <c r="F16" s="22">
        <v>20</v>
      </c>
      <c r="G16" s="23">
        <f t="shared" ref="G16:G132" si="0">SUM(H16:K16)</f>
        <v>0</v>
      </c>
      <c r="H16" s="27"/>
      <c r="I16" s="27"/>
      <c r="J16" s="27"/>
      <c r="K16" s="27"/>
      <c r="L16" s="19"/>
      <c r="M16" s="24"/>
      <c r="P16" s="25">
        <v>20</v>
      </c>
    </row>
    <row r="17" spans="3:16" s="17" customFormat="1" ht="12.75" x14ac:dyDescent="0.2">
      <c r="C17" s="18"/>
      <c r="D17" s="20" t="s">
        <v>27</v>
      </c>
      <c r="E17" s="26" t="s">
        <v>28</v>
      </c>
      <c r="F17" s="22">
        <v>30</v>
      </c>
      <c r="G17" s="23">
        <f t="shared" si="0"/>
        <v>0</v>
      </c>
      <c r="H17" s="23">
        <f>SUM(H18:H19)</f>
        <v>0</v>
      </c>
      <c r="I17" s="23">
        <f>SUM(I18:I19)</f>
        <v>0</v>
      </c>
      <c r="J17" s="23">
        <f>SUM(J18:J19)</f>
        <v>0</v>
      </c>
      <c r="K17" s="23">
        <f>SUM(K18:K19)</f>
        <v>0</v>
      </c>
      <c r="L17" s="19"/>
      <c r="M17" s="24"/>
      <c r="P17" s="25">
        <v>30</v>
      </c>
    </row>
    <row r="18" spans="3:16" s="17" customFormat="1" ht="12.75" x14ac:dyDescent="0.2">
      <c r="C18" s="18"/>
      <c r="D18" s="28" t="s">
        <v>29</v>
      </c>
      <c r="E18" s="29"/>
      <c r="F18" s="30" t="s">
        <v>30</v>
      </c>
      <c r="G18" s="31"/>
      <c r="H18" s="31"/>
      <c r="I18" s="31"/>
      <c r="J18" s="31"/>
      <c r="K18" s="31"/>
      <c r="L18" s="19"/>
      <c r="M18" s="24"/>
      <c r="P18" s="25"/>
    </row>
    <row r="19" spans="3:16" s="17" customFormat="1" ht="12.75" x14ac:dyDescent="0.2">
      <c r="C19" s="18"/>
      <c r="D19" s="32"/>
      <c r="E19" s="33" t="s">
        <v>31</v>
      </c>
      <c r="F19" s="34"/>
      <c r="G19" s="34"/>
      <c r="H19" s="34"/>
      <c r="I19" s="34"/>
      <c r="J19" s="34"/>
      <c r="K19" s="35"/>
      <c r="L19" s="19"/>
      <c r="M19" s="24"/>
      <c r="P19" s="36"/>
    </row>
    <row r="20" spans="3:16" s="17" customFormat="1" ht="12.75" x14ac:dyDescent="0.2">
      <c r="C20" s="18"/>
      <c r="D20" s="20" t="s">
        <v>32</v>
      </c>
      <c r="E20" s="26" t="s">
        <v>33</v>
      </c>
      <c r="F20" s="22" t="s">
        <v>34</v>
      </c>
      <c r="G20" s="23">
        <f t="shared" si="0"/>
        <v>0</v>
      </c>
      <c r="H20" s="23">
        <f>SUM(H21:H22)</f>
        <v>0</v>
      </c>
      <c r="I20" s="23">
        <f>SUM(I21:I22)</f>
        <v>0</v>
      </c>
      <c r="J20" s="23">
        <f>SUM(J21:J22)</f>
        <v>0</v>
      </c>
      <c r="K20" s="23">
        <f>SUM(K21:K22)</f>
        <v>0</v>
      </c>
      <c r="L20" s="19"/>
      <c r="M20" s="24"/>
      <c r="P20" s="36"/>
    </row>
    <row r="21" spans="3:16" s="17" customFormat="1" ht="12.75" x14ac:dyDescent="0.2">
      <c r="C21" s="18"/>
      <c r="D21" s="28" t="s">
        <v>35</v>
      </c>
      <c r="E21" s="29"/>
      <c r="F21" s="30" t="s">
        <v>34</v>
      </c>
      <c r="G21" s="31"/>
      <c r="H21" s="31"/>
      <c r="I21" s="31"/>
      <c r="J21" s="31"/>
      <c r="K21" s="31"/>
      <c r="L21" s="19"/>
      <c r="M21" s="24"/>
      <c r="P21" s="25"/>
    </row>
    <row r="22" spans="3:16" s="17" customFormat="1" ht="12.75" x14ac:dyDescent="0.2">
      <c r="C22" s="18"/>
      <c r="D22" s="32"/>
      <c r="E22" s="33" t="s">
        <v>31</v>
      </c>
      <c r="F22" s="34"/>
      <c r="G22" s="34"/>
      <c r="H22" s="34"/>
      <c r="I22" s="34"/>
      <c r="J22" s="34"/>
      <c r="K22" s="35"/>
      <c r="L22" s="19"/>
      <c r="M22" s="24"/>
      <c r="P22" s="36"/>
    </row>
    <row r="23" spans="3:16" s="17" customFormat="1" ht="12.75" x14ac:dyDescent="0.2">
      <c r="C23" s="18"/>
      <c r="D23" s="20" t="s">
        <v>36</v>
      </c>
      <c r="E23" s="26" t="s">
        <v>37</v>
      </c>
      <c r="F23" s="22" t="s">
        <v>38</v>
      </c>
      <c r="G23" s="23">
        <f t="shared" si="0"/>
        <v>24446.718000000001</v>
      </c>
      <c r="H23" s="23">
        <f>SUM(H24:H26)</f>
        <v>19112.012000000002</v>
      </c>
      <c r="I23" s="23">
        <f>SUM(I24:I26)</f>
        <v>0</v>
      </c>
      <c r="J23" s="23">
        <f>SUM(J24:J26)</f>
        <v>5334.7060000000001</v>
      </c>
      <c r="K23" s="23">
        <f>SUM(K24:K26)</f>
        <v>0</v>
      </c>
      <c r="L23" s="19"/>
      <c r="M23" s="24"/>
      <c r="P23" s="25">
        <v>40</v>
      </c>
    </row>
    <row r="24" spans="3:16" s="17" customFormat="1" ht="12.75" x14ac:dyDescent="0.2">
      <c r="C24" s="18"/>
      <c r="D24" s="28" t="s">
        <v>39</v>
      </c>
      <c r="E24" s="29"/>
      <c r="F24" s="30" t="s">
        <v>38</v>
      </c>
      <c r="G24" s="31"/>
      <c r="H24" s="31"/>
      <c r="I24" s="31"/>
      <c r="J24" s="31"/>
      <c r="K24" s="31"/>
      <c r="L24" s="19"/>
      <c r="M24" s="24"/>
      <c r="P24" s="25"/>
    </row>
    <row r="25" spans="3:16" s="17" customFormat="1" ht="15" x14ac:dyDescent="0.25">
      <c r="C25" s="37" t="s">
        <v>40</v>
      </c>
      <c r="D25" s="38" t="s">
        <v>41</v>
      </c>
      <c r="E25" s="39" t="s">
        <v>42</v>
      </c>
      <c r="F25" s="40">
        <v>431</v>
      </c>
      <c r="G25" s="41">
        <f>SUM(H25:K25)</f>
        <v>24446.718000000001</v>
      </c>
      <c r="H25" s="42">
        <f>'1 пг'!H25+'2 пг'!H25</f>
        <v>19112.012000000002</v>
      </c>
      <c r="I25" s="42">
        <v>0</v>
      </c>
      <c r="J25" s="42">
        <f>'1 пг'!J25+'2 пг'!J25</f>
        <v>5334.7060000000001</v>
      </c>
      <c r="K25" s="42">
        <v>0</v>
      </c>
      <c r="L25" s="19"/>
      <c r="M25" s="43" t="s">
        <v>43</v>
      </c>
      <c r="N25" s="44" t="s">
        <v>44</v>
      </c>
      <c r="O25" s="44" t="s">
        <v>45</v>
      </c>
    </row>
    <row r="26" spans="3:16" s="17" customFormat="1" ht="12.75" x14ac:dyDescent="0.2">
      <c r="C26" s="18"/>
      <c r="D26" s="32"/>
      <c r="E26" s="33" t="s">
        <v>31</v>
      </c>
      <c r="F26" s="34"/>
      <c r="G26" s="34"/>
      <c r="H26" s="34"/>
      <c r="I26" s="34"/>
      <c r="J26" s="34"/>
      <c r="K26" s="35"/>
      <c r="L26" s="19"/>
      <c r="M26" s="24"/>
      <c r="P26" s="25"/>
    </row>
    <row r="27" spans="3:16" s="17" customFormat="1" ht="12.75" x14ac:dyDescent="0.2">
      <c r="C27" s="18"/>
      <c r="D27" s="20" t="s">
        <v>46</v>
      </c>
      <c r="E27" s="21" t="s">
        <v>47</v>
      </c>
      <c r="F27" s="22" t="s">
        <v>48</v>
      </c>
      <c r="G27" s="23">
        <f t="shared" si="0"/>
        <v>40947.762000000002</v>
      </c>
      <c r="H27" s="23">
        <f>H29+H30+H31</f>
        <v>0</v>
      </c>
      <c r="I27" s="23">
        <f>I28+I30+I31</f>
        <v>0</v>
      </c>
      <c r="J27" s="23">
        <f>J28+J29+J31</f>
        <v>19112.012000000002</v>
      </c>
      <c r="K27" s="23">
        <f>K28+K29+K30</f>
        <v>21835.75</v>
      </c>
      <c r="L27" s="19"/>
      <c r="M27" s="24"/>
      <c r="P27" s="25">
        <v>50</v>
      </c>
    </row>
    <row r="28" spans="3:16" s="17" customFormat="1" ht="12.75" x14ac:dyDescent="0.2">
      <c r="C28" s="18"/>
      <c r="D28" s="20" t="s">
        <v>49</v>
      </c>
      <c r="E28" s="26" t="s">
        <v>18</v>
      </c>
      <c r="F28" s="22" t="s">
        <v>50</v>
      </c>
      <c r="G28" s="23">
        <f t="shared" si="0"/>
        <v>19112.012000000002</v>
      </c>
      <c r="H28" s="45"/>
      <c r="I28" s="27"/>
      <c r="J28" s="27">
        <f>H25</f>
        <v>19112.012000000002</v>
      </c>
      <c r="K28" s="27"/>
      <c r="L28" s="19"/>
      <c r="M28" s="24"/>
      <c r="P28" s="25">
        <v>60</v>
      </c>
    </row>
    <row r="29" spans="3:16" s="17" customFormat="1" ht="12.75" x14ac:dyDescent="0.2">
      <c r="C29" s="18"/>
      <c r="D29" s="20" t="s">
        <v>51</v>
      </c>
      <c r="E29" s="26" t="s">
        <v>19</v>
      </c>
      <c r="F29" s="22" t="s">
        <v>52</v>
      </c>
      <c r="G29" s="23">
        <f t="shared" si="0"/>
        <v>0</v>
      </c>
      <c r="H29" s="27"/>
      <c r="I29" s="45"/>
      <c r="J29" s="27"/>
      <c r="K29" s="27"/>
      <c r="L29" s="19"/>
      <c r="M29" s="24"/>
      <c r="P29" s="25">
        <v>70</v>
      </c>
    </row>
    <row r="30" spans="3:16" s="17" customFormat="1" ht="12.75" x14ac:dyDescent="0.2">
      <c r="C30" s="18"/>
      <c r="D30" s="20" t="s">
        <v>53</v>
      </c>
      <c r="E30" s="26" t="s">
        <v>20</v>
      </c>
      <c r="F30" s="22" t="s">
        <v>54</v>
      </c>
      <c r="G30" s="23">
        <f t="shared" si="0"/>
        <v>21835.75</v>
      </c>
      <c r="H30" s="27"/>
      <c r="I30" s="27"/>
      <c r="J30" s="45"/>
      <c r="K30" s="27">
        <f>H25+J25-J36-J46</f>
        <v>21835.75</v>
      </c>
      <c r="L30" s="19"/>
      <c r="M30" s="24"/>
      <c r="P30" s="25">
        <v>80</v>
      </c>
    </row>
    <row r="31" spans="3:16" s="17" customFormat="1" ht="12.75" x14ac:dyDescent="0.2">
      <c r="C31" s="18"/>
      <c r="D31" s="20" t="s">
        <v>55</v>
      </c>
      <c r="E31" s="26" t="s">
        <v>56</v>
      </c>
      <c r="F31" s="22" t="s">
        <v>57</v>
      </c>
      <c r="G31" s="23">
        <f t="shared" si="0"/>
        <v>0</v>
      </c>
      <c r="H31" s="27"/>
      <c r="I31" s="27"/>
      <c r="J31" s="27"/>
      <c r="K31" s="45"/>
      <c r="L31" s="19"/>
      <c r="M31" s="24"/>
      <c r="P31" s="25">
        <v>90</v>
      </c>
    </row>
    <row r="32" spans="3:16" s="17" customFormat="1" ht="12.75" x14ac:dyDescent="0.2">
      <c r="C32" s="18"/>
      <c r="D32" s="20" t="s">
        <v>58</v>
      </c>
      <c r="E32" s="46" t="s">
        <v>59</v>
      </c>
      <c r="F32" s="22" t="s">
        <v>60</v>
      </c>
      <c r="G32" s="23">
        <f t="shared" si="0"/>
        <v>0</v>
      </c>
      <c r="H32" s="27"/>
      <c r="I32" s="27"/>
      <c r="J32" s="27"/>
      <c r="K32" s="27"/>
      <c r="L32" s="19"/>
      <c r="M32" s="24"/>
      <c r="P32" s="25"/>
    </row>
    <row r="33" spans="3:16" s="17" customFormat="1" ht="12.75" x14ac:dyDescent="0.2">
      <c r="C33" s="18"/>
      <c r="D33" s="20" t="s">
        <v>61</v>
      </c>
      <c r="E33" s="21" t="s">
        <v>62</v>
      </c>
      <c r="F33" s="47" t="s">
        <v>63</v>
      </c>
      <c r="G33" s="23">
        <f t="shared" si="0"/>
        <v>24148.171999999999</v>
      </c>
      <c r="H33" s="23">
        <f>H34+H36+H39+H42</f>
        <v>0</v>
      </c>
      <c r="I33" s="23">
        <f>I34+I36+I39+I42</f>
        <v>0</v>
      </c>
      <c r="J33" s="23">
        <f>J34+J36+J39+J42</f>
        <v>2610.9679999999998</v>
      </c>
      <c r="K33" s="23">
        <f>K34+K36+K39+K42</f>
        <v>21537.203999999998</v>
      </c>
      <c r="L33" s="19"/>
      <c r="M33" s="24"/>
      <c r="P33" s="25">
        <v>100</v>
      </c>
    </row>
    <row r="34" spans="3:16" s="17" customFormat="1" ht="22.5" x14ac:dyDescent="0.2">
      <c r="C34" s="18"/>
      <c r="D34" s="20" t="s">
        <v>64</v>
      </c>
      <c r="E34" s="26" t="s">
        <v>65</v>
      </c>
      <c r="F34" s="22" t="s">
        <v>66</v>
      </c>
      <c r="G34" s="23">
        <f t="shared" si="0"/>
        <v>0</v>
      </c>
      <c r="H34" s="27"/>
      <c r="I34" s="27"/>
      <c r="J34" s="27"/>
      <c r="K34" s="27"/>
      <c r="L34" s="19"/>
      <c r="M34" s="24"/>
      <c r="P34" s="25"/>
    </row>
    <row r="35" spans="3:16" s="17" customFormat="1" ht="12.75" x14ac:dyDescent="0.2">
      <c r="C35" s="18"/>
      <c r="D35" s="20" t="s">
        <v>67</v>
      </c>
      <c r="E35" s="48" t="s">
        <v>68</v>
      </c>
      <c r="F35" s="22" t="s">
        <v>69</v>
      </c>
      <c r="G35" s="23">
        <f t="shared" si="0"/>
        <v>0</v>
      </c>
      <c r="H35" s="27"/>
      <c r="I35" s="27"/>
      <c r="J35" s="27"/>
      <c r="K35" s="27"/>
      <c r="L35" s="19"/>
      <c r="M35" s="24"/>
      <c r="P35" s="25"/>
    </row>
    <row r="36" spans="3:16" s="17" customFormat="1" ht="12.75" x14ac:dyDescent="0.2">
      <c r="C36" s="18"/>
      <c r="D36" s="20" t="s">
        <v>70</v>
      </c>
      <c r="E36" s="26" t="s">
        <v>71</v>
      </c>
      <c r="F36" s="22" t="s">
        <v>72</v>
      </c>
      <c r="G36" s="23">
        <f t="shared" si="0"/>
        <v>24148.171999999999</v>
      </c>
      <c r="H36" s="27">
        <v>0</v>
      </c>
      <c r="I36" s="27">
        <v>0</v>
      </c>
      <c r="J36" s="42">
        <f>'1 пг'!J36+'2 пг'!J36</f>
        <v>2610.9679999999998</v>
      </c>
      <c r="K36" s="42">
        <f>'1 пг'!K36+'2 пг'!K36</f>
        <v>21537.203999999998</v>
      </c>
      <c r="L36" s="19"/>
      <c r="M36" s="24"/>
      <c r="P36" s="25"/>
    </row>
    <row r="37" spans="3:16" s="17" customFormat="1" ht="12.75" x14ac:dyDescent="0.2">
      <c r="C37" s="18"/>
      <c r="D37" s="20" t="s">
        <v>73</v>
      </c>
      <c r="E37" s="48" t="s">
        <v>74</v>
      </c>
      <c r="F37" s="22" t="s">
        <v>75</v>
      </c>
      <c r="G37" s="23">
        <f t="shared" si="0"/>
        <v>0</v>
      </c>
      <c r="H37" s="27"/>
      <c r="I37" s="27"/>
      <c r="J37" s="27"/>
      <c r="K37" s="27"/>
      <c r="L37" s="19"/>
      <c r="M37" s="24"/>
      <c r="P37" s="25"/>
    </row>
    <row r="38" spans="3:16" s="17" customFormat="1" ht="12.75" x14ac:dyDescent="0.2">
      <c r="C38" s="18"/>
      <c r="D38" s="20" t="s">
        <v>76</v>
      </c>
      <c r="E38" s="49" t="s">
        <v>68</v>
      </c>
      <c r="F38" s="22" t="s">
        <v>77</v>
      </c>
      <c r="G38" s="23">
        <f t="shared" si="0"/>
        <v>0</v>
      </c>
      <c r="H38" s="27"/>
      <c r="I38" s="27"/>
      <c r="J38" s="27"/>
      <c r="K38" s="27"/>
      <c r="L38" s="19"/>
      <c r="M38" s="24"/>
      <c r="P38" s="25"/>
    </row>
    <row r="39" spans="3:16" s="17" customFormat="1" ht="12.75" x14ac:dyDescent="0.2">
      <c r="C39" s="18"/>
      <c r="D39" s="20" t="s">
        <v>78</v>
      </c>
      <c r="E39" s="26" t="s">
        <v>79</v>
      </c>
      <c r="F39" s="22" t="s">
        <v>80</v>
      </c>
      <c r="G39" s="23">
        <f t="shared" si="0"/>
        <v>0</v>
      </c>
      <c r="H39" s="23">
        <f>SUM(H40:H41)</f>
        <v>0</v>
      </c>
      <c r="I39" s="23">
        <f>SUM(I40:I41)</f>
        <v>0</v>
      </c>
      <c r="J39" s="23">
        <f>SUM(J40:J41)</f>
        <v>0</v>
      </c>
      <c r="K39" s="23">
        <f>SUM(K40:K41)</f>
        <v>0</v>
      </c>
      <c r="L39" s="19"/>
      <c r="M39" s="24"/>
      <c r="P39" s="25"/>
    </row>
    <row r="40" spans="3:16" s="17" customFormat="1" ht="12.75" x14ac:dyDescent="0.2">
      <c r="C40" s="18"/>
      <c r="D40" s="28" t="s">
        <v>81</v>
      </c>
      <c r="E40" s="29"/>
      <c r="F40" s="30" t="s">
        <v>80</v>
      </c>
      <c r="G40" s="31"/>
      <c r="H40" s="31"/>
      <c r="I40" s="31"/>
      <c r="J40" s="31"/>
      <c r="K40" s="31"/>
      <c r="L40" s="19"/>
      <c r="M40" s="24"/>
      <c r="P40" s="25"/>
    </row>
    <row r="41" spans="3:16" s="17" customFormat="1" ht="12.75" x14ac:dyDescent="0.2">
      <c r="C41" s="18"/>
      <c r="D41" s="50"/>
      <c r="E41" s="33" t="s">
        <v>31</v>
      </c>
      <c r="F41" s="34"/>
      <c r="G41" s="34"/>
      <c r="H41" s="34"/>
      <c r="I41" s="34"/>
      <c r="J41" s="34"/>
      <c r="K41" s="35"/>
      <c r="L41" s="19"/>
      <c r="M41" s="24"/>
      <c r="P41" s="25"/>
    </row>
    <row r="42" spans="3:16" s="17" customFormat="1" ht="12.75" x14ac:dyDescent="0.2">
      <c r="C42" s="18"/>
      <c r="D42" s="20" t="s">
        <v>82</v>
      </c>
      <c r="E42" s="51" t="s">
        <v>83</v>
      </c>
      <c r="F42" s="22" t="s">
        <v>84</v>
      </c>
      <c r="G42" s="23">
        <f t="shared" si="0"/>
        <v>0</v>
      </c>
      <c r="H42" s="27"/>
      <c r="I42" s="27"/>
      <c r="J42" s="27"/>
      <c r="K42" s="27"/>
      <c r="L42" s="19"/>
      <c r="M42" s="24"/>
      <c r="P42" s="25">
        <v>120</v>
      </c>
    </row>
    <row r="43" spans="3:16" s="17" customFormat="1" ht="12.75" x14ac:dyDescent="0.2">
      <c r="C43" s="18"/>
      <c r="D43" s="20" t="s">
        <v>85</v>
      </c>
      <c r="E43" s="21" t="s">
        <v>86</v>
      </c>
      <c r="F43" s="22" t="s">
        <v>87</v>
      </c>
      <c r="G43" s="23">
        <f t="shared" si="0"/>
        <v>40947.762000000002</v>
      </c>
      <c r="H43" s="27">
        <f>J28</f>
        <v>19112.012000000002</v>
      </c>
      <c r="I43" s="27"/>
      <c r="J43" s="27">
        <f>K30</f>
        <v>21835.75</v>
      </c>
      <c r="K43" s="27"/>
      <c r="L43" s="19"/>
      <c r="M43" s="24"/>
      <c r="P43" s="25">
        <v>150</v>
      </c>
    </row>
    <row r="44" spans="3:16" s="17" customFormat="1" ht="12.75" x14ac:dyDescent="0.2">
      <c r="C44" s="18"/>
      <c r="D44" s="20" t="s">
        <v>88</v>
      </c>
      <c r="E44" s="21" t="s">
        <v>89</v>
      </c>
      <c r="F44" s="22" t="s">
        <v>90</v>
      </c>
      <c r="G44" s="23">
        <f t="shared" si="0"/>
        <v>0</v>
      </c>
      <c r="H44" s="27"/>
      <c r="I44" s="27"/>
      <c r="J44" s="27"/>
      <c r="K44" s="27"/>
      <c r="L44" s="19"/>
      <c r="M44" s="24"/>
      <c r="P44" s="25">
        <v>160</v>
      </c>
    </row>
    <row r="45" spans="3:16" s="17" customFormat="1" ht="12.75" x14ac:dyDescent="0.2">
      <c r="C45" s="18"/>
      <c r="D45" s="20" t="s">
        <v>91</v>
      </c>
      <c r="E45" s="21" t="s">
        <v>92</v>
      </c>
      <c r="F45" s="22" t="s">
        <v>93</v>
      </c>
      <c r="G45" s="23">
        <f t="shared" si="0"/>
        <v>0</v>
      </c>
      <c r="H45" s="27"/>
      <c r="I45" s="27"/>
      <c r="J45" s="27"/>
      <c r="K45" s="27"/>
      <c r="L45" s="19"/>
      <c r="M45" s="24"/>
      <c r="P45" s="25">
        <v>180</v>
      </c>
    </row>
    <row r="46" spans="3:16" s="17" customFormat="1" ht="12.75" x14ac:dyDescent="0.2">
      <c r="C46" s="18"/>
      <c r="D46" s="20" t="s">
        <v>94</v>
      </c>
      <c r="E46" s="21" t="s">
        <v>95</v>
      </c>
      <c r="F46" s="22" t="s">
        <v>96</v>
      </c>
      <c r="G46" s="23">
        <f t="shared" si="0"/>
        <v>298.5460000000021</v>
      </c>
      <c r="H46" s="27"/>
      <c r="I46" s="27"/>
      <c r="J46" s="27"/>
      <c r="K46" s="27">
        <f>G25-G36</f>
        <v>298.5460000000021</v>
      </c>
      <c r="L46" s="19"/>
      <c r="M46" s="24"/>
      <c r="P46" s="25">
        <v>190</v>
      </c>
    </row>
    <row r="47" spans="3:16" s="17" customFormat="1" ht="12.75" x14ac:dyDescent="0.2">
      <c r="C47" s="18"/>
      <c r="D47" s="20" t="s">
        <v>97</v>
      </c>
      <c r="E47" s="26" t="s">
        <v>98</v>
      </c>
      <c r="F47" s="22" t="s">
        <v>99</v>
      </c>
      <c r="G47" s="23">
        <f t="shared" si="0"/>
        <v>0</v>
      </c>
      <c r="H47" s="27"/>
      <c r="I47" s="27"/>
      <c r="J47" s="27">
        <v>0</v>
      </c>
      <c r="K47" s="27">
        <v>0</v>
      </c>
      <c r="L47" s="19"/>
      <c r="M47" s="24"/>
      <c r="P47" s="25">
        <v>200</v>
      </c>
    </row>
    <row r="48" spans="3:16" s="17" customFormat="1" ht="12.75" x14ac:dyDescent="0.2">
      <c r="C48" s="18"/>
      <c r="D48" s="20" t="s">
        <v>100</v>
      </c>
      <c r="E48" s="21" t="s">
        <v>101</v>
      </c>
      <c r="F48" s="22" t="s">
        <v>102</v>
      </c>
      <c r="G48" s="23">
        <f t="shared" si="0"/>
        <v>668.31299999999999</v>
      </c>
      <c r="H48" s="27"/>
      <c r="I48" s="27"/>
      <c r="J48" s="42">
        <f>'1 пг'!J48+'2 пг'!J48</f>
        <v>0</v>
      </c>
      <c r="K48" s="42">
        <f>'1 пг'!K48+'2 пг'!K48</f>
        <v>668.31299999999999</v>
      </c>
      <c r="L48" s="19"/>
      <c r="M48" s="24"/>
      <c r="P48" s="36"/>
    </row>
    <row r="49" spans="3:16" s="17" customFormat="1" ht="22.5" x14ac:dyDescent="0.2">
      <c r="C49" s="18"/>
      <c r="D49" s="20" t="s">
        <v>103</v>
      </c>
      <c r="E49" s="46" t="s">
        <v>104</v>
      </c>
      <c r="F49" s="22" t="s">
        <v>105</v>
      </c>
      <c r="G49" s="23">
        <f t="shared" si="0"/>
        <v>-369.76699999999789</v>
      </c>
      <c r="H49" s="23">
        <f>H46-H48</f>
        <v>0</v>
      </c>
      <c r="I49" s="23">
        <f>I46-I48</f>
        <v>0</v>
      </c>
      <c r="J49" s="23">
        <f>J46-J48</f>
        <v>0</v>
      </c>
      <c r="K49" s="23">
        <f>K46-K48</f>
        <v>-369.76699999999789</v>
      </c>
      <c r="L49" s="19"/>
      <c r="M49" s="24"/>
      <c r="P49" s="36"/>
    </row>
    <row r="50" spans="3:16" s="17" customFormat="1" ht="12.75" x14ac:dyDescent="0.2">
      <c r="C50" s="18"/>
      <c r="D50" s="20" t="s">
        <v>106</v>
      </c>
      <c r="E50" s="21" t="s">
        <v>107</v>
      </c>
      <c r="F50" s="22" t="s">
        <v>108</v>
      </c>
      <c r="G50" s="23">
        <f t="shared" si="0"/>
        <v>0</v>
      </c>
      <c r="H50" s="23">
        <f>(H15+H27+H32)-(H33+H43+H44+H45+H46)</f>
        <v>0</v>
      </c>
      <c r="I50" s="23">
        <f>(I15+I27+I32)-(I33+I43+I44+I45+I46)</f>
        <v>0</v>
      </c>
      <c r="J50" s="23">
        <f>(J15+J27+J32)-(J33+J43+J44+J45+J46)</f>
        <v>0</v>
      </c>
      <c r="K50" s="23">
        <f>(K15+K27+K32)-(K33+K43+K44+K45+K46)</f>
        <v>0</v>
      </c>
      <c r="L50" s="19"/>
      <c r="M50" s="24"/>
      <c r="P50" s="25">
        <v>210</v>
      </c>
    </row>
    <row r="51" spans="3:16" s="17" customFormat="1" ht="12.75" x14ac:dyDescent="0.2">
      <c r="C51" s="18"/>
      <c r="D51" s="87" t="s">
        <v>109</v>
      </c>
      <c r="E51" s="88"/>
      <c r="F51" s="88"/>
      <c r="G51" s="88"/>
      <c r="H51" s="88"/>
      <c r="I51" s="88"/>
      <c r="J51" s="88"/>
      <c r="K51" s="89"/>
      <c r="L51" s="19"/>
      <c r="M51" s="24"/>
      <c r="P51" s="36"/>
    </row>
    <row r="52" spans="3:16" s="17" customFormat="1" ht="12.75" x14ac:dyDescent="0.2">
      <c r="C52" s="18"/>
      <c r="D52" s="20" t="s">
        <v>110</v>
      </c>
      <c r="E52" s="21" t="s">
        <v>24</v>
      </c>
      <c r="F52" s="22" t="s">
        <v>111</v>
      </c>
      <c r="G52" s="23">
        <f t="shared" si="0"/>
        <v>4.4823666666666675</v>
      </c>
      <c r="H52" s="23">
        <f>H53+H54+H57+H60</f>
        <v>1.0757680000000001</v>
      </c>
      <c r="I52" s="23">
        <f>I53+I54+I57+I60</f>
        <v>0</v>
      </c>
      <c r="J52" s="23">
        <f>J53+J54+J57+J60</f>
        <v>3.406598666666667</v>
      </c>
      <c r="K52" s="23">
        <f>K53+K54+K57+K60</f>
        <v>0</v>
      </c>
      <c r="L52" s="19"/>
      <c r="M52" s="24"/>
      <c r="P52" s="25">
        <v>300</v>
      </c>
    </row>
    <row r="53" spans="3:16" s="17" customFormat="1" ht="12.75" x14ac:dyDescent="0.2">
      <c r="C53" s="18"/>
      <c r="D53" s="20" t="s">
        <v>112</v>
      </c>
      <c r="E53" s="26" t="s">
        <v>26</v>
      </c>
      <c r="F53" s="22" t="s">
        <v>113</v>
      </c>
      <c r="G53" s="23">
        <f t="shared" si="0"/>
        <v>0</v>
      </c>
      <c r="H53" s="27"/>
      <c r="I53" s="27"/>
      <c r="J53" s="27"/>
      <c r="K53" s="27"/>
      <c r="L53" s="19"/>
      <c r="M53" s="24"/>
      <c r="P53" s="25">
        <v>310</v>
      </c>
    </row>
    <row r="54" spans="3:16" s="17" customFormat="1" ht="12.75" x14ac:dyDescent="0.2">
      <c r="C54" s="18"/>
      <c r="D54" s="20" t="s">
        <v>114</v>
      </c>
      <c r="E54" s="26" t="s">
        <v>28</v>
      </c>
      <c r="F54" s="22" t="s">
        <v>115</v>
      </c>
      <c r="G54" s="23">
        <f t="shared" si="0"/>
        <v>0</v>
      </c>
      <c r="H54" s="23">
        <f>SUM(H55:H56)</f>
        <v>0</v>
      </c>
      <c r="I54" s="23">
        <f>SUM(I55:I56)</f>
        <v>0</v>
      </c>
      <c r="J54" s="23">
        <f>SUM(J55:J56)</f>
        <v>0</v>
      </c>
      <c r="K54" s="23">
        <f>SUM(K55:K56)</f>
        <v>0</v>
      </c>
      <c r="L54" s="19"/>
      <c r="M54" s="24"/>
      <c r="P54" s="25">
        <v>320</v>
      </c>
    </row>
    <row r="55" spans="3:16" s="17" customFormat="1" ht="12.75" x14ac:dyDescent="0.2">
      <c r="C55" s="18"/>
      <c r="D55" s="28" t="s">
        <v>116</v>
      </c>
      <c r="E55" s="29"/>
      <c r="F55" s="30" t="s">
        <v>115</v>
      </c>
      <c r="G55" s="31"/>
      <c r="H55" s="31"/>
      <c r="I55" s="31"/>
      <c r="J55" s="31"/>
      <c r="K55" s="31"/>
      <c r="L55" s="19"/>
      <c r="M55" s="24"/>
      <c r="P55" s="25"/>
    </row>
    <row r="56" spans="3:16" s="17" customFormat="1" ht="12.75" x14ac:dyDescent="0.2">
      <c r="C56" s="18"/>
      <c r="D56" s="32"/>
      <c r="E56" s="33" t="s">
        <v>31</v>
      </c>
      <c r="F56" s="34"/>
      <c r="G56" s="34"/>
      <c r="H56" s="34"/>
      <c r="I56" s="34"/>
      <c r="J56" s="34"/>
      <c r="K56" s="35"/>
      <c r="L56" s="19"/>
      <c r="M56" s="24"/>
      <c r="P56" s="25"/>
    </row>
    <row r="57" spans="3:16" s="17" customFormat="1" ht="12.75" x14ac:dyDescent="0.2">
      <c r="C57" s="18"/>
      <c r="D57" s="20" t="s">
        <v>117</v>
      </c>
      <c r="E57" s="26" t="s">
        <v>33</v>
      </c>
      <c r="F57" s="22" t="s">
        <v>118</v>
      </c>
      <c r="G57" s="23">
        <f t="shared" si="0"/>
        <v>0</v>
      </c>
      <c r="H57" s="23">
        <f>SUM(H58:H59)</f>
        <v>0</v>
      </c>
      <c r="I57" s="23">
        <f>SUM(I58:I59)</f>
        <v>0</v>
      </c>
      <c r="J57" s="23">
        <f>SUM(J58:J59)</f>
        <v>0</v>
      </c>
      <c r="K57" s="23">
        <f>SUM(K58:K59)</f>
        <v>0</v>
      </c>
      <c r="L57" s="19"/>
      <c r="M57" s="24"/>
      <c r="P57" s="25"/>
    </row>
    <row r="58" spans="3:16" s="17" customFormat="1" ht="12.75" x14ac:dyDescent="0.2">
      <c r="C58" s="18"/>
      <c r="D58" s="28" t="s">
        <v>119</v>
      </c>
      <c r="E58" s="29"/>
      <c r="F58" s="30" t="s">
        <v>118</v>
      </c>
      <c r="G58" s="31"/>
      <c r="H58" s="31"/>
      <c r="I58" s="31"/>
      <c r="J58" s="31"/>
      <c r="K58" s="31"/>
      <c r="L58" s="19"/>
      <c r="M58" s="24"/>
      <c r="P58" s="25"/>
    </row>
    <row r="59" spans="3:16" s="17" customFormat="1" ht="12.75" x14ac:dyDescent="0.2">
      <c r="C59" s="18"/>
      <c r="D59" s="32"/>
      <c r="E59" s="33" t="s">
        <v>31</v>
      </c>
      <c r="F59" s="34"/>
      <c r="G59" s="34"/>
      <c r="H59" s="34"/>
      <c r="I59" s="34"/>
      <c r="J59" s="34"/>
      <c r="K59" s="35"/>
      <c r="L59" s="19"/>
      <c r="M59" s="24"/>
      <c r="P59" s="25"/>
    </row>
    <row r="60" spans="3:16" s="17" customFormat="1" ht="12.75" x14ac:dyDescent="0.2">
      <c r="C60" s="18"/>
      <c r="D60" s="20" t="s">
        <v>120</v>
      </c>
      <c r="E60" s="26" t="s">
        <v>37</v>
      </c>
      <c r="F60" s="22" t="s">
        <v>121</v>
      </c>
      <c r="G60" s="23">
        <f t="shared" si="0"/>
        <v>4.4823666666666675</v>
      </c>
      <c r="H60" s="23">
        <f>SUM(H61:H63)</f>
        <v>1.0757680000000001</v>
      </c>
      <c r="I60" s="23">
        <f>SUM(I61:I63)</f>
        <v>0</v>
      </c>
      <c r="J60" s="23">
        <f>SUM(J61:J63)</f>
        <v>3.406598666666667</v>
      </c>
      <c r="K60" s="23">
        <f>SUM(K61:K63)</f>
        <v>0</v>
      </c>
      <c r="L60" s="19"/>
      <c r="M60" s="24"/>
      <c r="P60" s="25">
        <v>330</v>
      </c>
    </row>
    <row r="61" spans="3:16" s="17" customFormat="1" ht="12.75" x14ac:dyDescent="0.2">
      <c r="C61" s="18"/>
      <c r="D61" s="28" t="s">
        <v>122</v>
      </c>
      <c r="E61" s="29"/>
      <c r="F61" s="30" t="s">
        <v>121</v>
      </c>
      <c r="G61" s="31"/>
      <c r="H61" s="31"/>
      <c r="I61" s="31"/>
      <c r="J61" s="31"/>
      <c r="K61" s="31"/>
      <c r="L61" s="19"/>
      <c r="M61" s="24"/>
      <c r="P61" s="25"/>
    </row>
    <row r="62" spans="3:16" s="17" customFormat="1" ht="15" x14ac:dyDescent="0.25">
      <c r="C62" s="37" t="s">
        <v>40</v>
      </c>
      <c r="D62" s="38" t="s">
        <v>123</v>
      </c>
      <c r="E62" s="39" t="s">
        <v>42</v>
      </c>
      <c r="F62" s="40">
        <v>1461</v>
      </c>
      <c r="G62" s="41">
        <f>SUM(H62:K62)</f>
        <v>4.4823666666666675</v>
      </c>
      <c r="H62" s="42">
        <f>(январь!H62+февраль!H62+март!H62+апрель!H62+май!H62+июнь!H62+июль!H62+август!H62+сентябрь!H62+октябрь!H62+ноябрь!H62+декабрь!H62)/12</f>
        <v>1.0757680000000001</v>
      </c>
      <c r="I62" s="52">
        <v>0</v>
      </c>
      <c r="J62" s="42">
        <f>(январь!J62+февраль!J62+март!J62+апрель!J62+май!J62+июнь!J62+июль!J62+август!J62+сентябрь!J62+октябрь!J62+ноябрь!J62+декабрь!J62)/12</f>
        <v>3.406598666666667</v>
      </c>
      <c r="K62" s="53">
        <v>0</v>
      </c>
      <c r="L62" s="19"/>
      <c r="M62" s="43" t="s">
        <v>43</v>
      </c>
      <c r="N62" s="44" t="s">
        <v>44</v>
      </c>
      <c r="O62" s="44" t="s">
        <v>45</v>
      </c>
    </row>
    <row r="63" spans="3:16" s="17" customFormat="1" ht="12.75" x14ac:dyDescent="0.2">
      <c r="C63" s="18"/>
      <c r="D63" s="32"/>
      <c r="E63" s="33" t="s">
        <v>31</v>
      </c>
      <c r="F63" s="34"/>
      <c r="G63" s="34"/>
      <c r="H63" s="34"/>
      <c r="I63" s="34"/>
      <c r="J63" s="34"/>
      <c r="K63" s="35"/>
      <c r="L63" s="19"/>
      <c r="M63" s="24"/>
      <c r="P63" s="25"/>
    </row>
    <row r="64" spans="3:16" s="17" customFormat="1" ht="12.75" x14ac:dyDescent="0.2">
      <c r="C64" s="18"/>
      <c r="D64" s="20" t="s">
        <v>124</v>
      </c>
      <c r="E64" s="21" t="s">
        <v>47</v>
      </c>
      <c r="F64" s="22" t="s">
        <v>125</v>
      </c>
      <c r="G64" s="23">
        <f t="shared" si="0"/>
        <v>4.5255826666666668</v>
      </c>
      <c r="H64" s="23">
        <f>H66+H67+H68</f>
        <v>0</v>
      </c>
      <c r="I64" s="23">
        <f>I65+I67+I68</f>
        <v>0</v>
      </c>
      <c r="J64" s="23">
        <f>J65+J66+J68</f>
        <v>1.0757680000000001</v>
      </c>
      <c r="K64" s="23">
        <f>K65+K66+K67</f>
        <v>3.4498146666666671</v>
      </c>
      <c r="L64" s="19"/>
      <c r="M64" s="24"/>
      <c r="P64" s="25">
        <v>340</v>
      </c>
    </row>
    <row r="65" spans="3:16" s="17" customFormat="1" ht="12.75" x14ac:dyDescent="0.2">
      <c r="C65" s="18"/>
      <c r="D65" s="20" t="s">
        <v>126</v>
      </c>
      <c r="E65" s="26" t="s">
        <v>18</v>
      </c>
      <c r="F65" s="22" t="s">
        <v>127</v>
      </c>
      <c r="G65" s="23">
        <f t="shared" si="0"/>
        <v>1.0757680000000001</v>
      </c>
      <c r="H65" s="45"/>
      <c r="I65" s="27"/>
      <c r="J65" s="27">
        <f>H62</f>
        <v>1.0757680000000001</v>
      </c>
      <c r="K65" s="27"/>
      <c r="L65" s="19"/>
      <c r="M65" s="24"/>
      <c r="P65" s="25">
        <v>350</v>
      </c>
    </row>
    <row r="66" spans="3:16" s="17" customFormat="1" ht="12.75" x14ac:dyDescent="0.2">
      <c r="C66" s="18"/>
      <c r="D66" s="20" t="s">
        <v>128</v>
      </c>
      <c r="E66" s="26" t="s">
        <v>19</v>
      </c>
      <c r="F66" s="22" t="s">
        <v>129</v>
      </c>
      <c r="G66" s="23">
        <f t="shared" si="0"/>
        <v>0</v>
      </c>
      <c r="H66" s="27"/>
      <c r="I66" s="54"/>
      <c r="J66" s="27"/>
      <c r="K66" s="27"/>
      <c r="L66" s="19"/>
      <c r="M66" s="24"/>
      <c r="P66" s="25">
        <v>360</v>
      </c>
    </row>
    <row r="67" spans="3:16" s="17" customFormat="1" ht="12.75" x14ac:dyDescent="0.2">
      <c r="C67" s="18"/>
      <c r="D67" s="20" t="s">
        <v>130</v>
      </c>
      <c r="E67" s="26" t="s">
        <v>20</v>
      </c>
      <c r="F67" s="22" t="s">
        <v>131</v>
      </c>
      <c r="G67" s="23">
        <f t="shared" si="0"/>
        <v>3.4498146666666671</v>
      </c>
      <c r="H67" s="27"/>
      <c r="I67" s="27"/>
      <c r="J67" s="45"/>
      <c r="K67" s="27">
        <f>K73+K83</f>
        <v>3.4498146666666671</v>
      </c>
      <c r="L67" s="19"/>
      <c r="M67" s="24"/>
      <c r="P67" s="25">
        <v>370</v>
      </c>
    </row>
    <row r="68" spans="3:16" s="17" customFormat="1" ht="12.75" x14ac:dyDescent="0.2">
      <c r="C68" s="18"/>
      <c r="D68" s="20" t="s">
        <v>132</v>
      </c>
      <c r="E68" s="26" t="s">
        <v>56</v>
      </c>
      <c r="F68" s="22" t="s">
        <v>133</v>
      </c>
      <c r="G68" s="23">
        <f t="shared" si="0"/>
        <v>0</v>
      </c>
      <c r="H68" s="27"/>
      <c r="I68" s="27"/>
      <c r="J68" s="27"/>
      <c r="K68" s="45"/>
      <c r="L68" s="19"/>
      <c r="M68" s="24"/>
      <c r="P68" s="25">
        <v>380</v>
      </c>
    </row>
    <row r="69" spans="3:16" s="17" customFormat="1" ht="12.75" x14ac:dyDescent="0.2">
      <c r="C69" s="18"/>
      <c r="D69" s="20" t="s">
        <v>134</v>
      </c>
      <c r="E69" s="46" t="s">
        <v>59</v>
      </c>
      <c r="F69" s="22" t="s">
        <v>135</v>
      </c>
      <c r="G69" s="23">
        <f t="shared" si="0"/>
        <v>0</v>
      </c>
      <c r="H69" s="27"/>
      <c r="I69" s="27"/>
      <c r="J69" s="27"/>
      <c r="K69" s="27"/>
      <c r="L69" s="19"/>
      <c r="M69" s="24"/>
      <c r="P69" s="25"/>
    </row>
    <row r="70" spans="3:16" s="17" customFormat="1" ht="12.75" x14ac:dyDescent="0.2">
      <c r="C70" s="18"/>
      <c r="D70" s="20" t="s">
        <v>136</v>
      </c>
      <c r="E70" s="21" t="s">
        <v>62</v>
      </c>
      <c r="F70" s="47" t="s">
        <v>137</v>
      </c>
      <c r="G70" s="23">
        <f t="shared" si="0"/>
        <v>4.3023000000000007</v>
      </c>
      <c r="H70" s="23">
        <f>H71+H73+H76+H79</f>
        <v>0</v>
      </c>
      <c r="I70" s="23">
        <f>I71+I73+I76+I79</f>
        <v>0</v>
      </c>
      <c r="J70" s="23">
        <f>J71+J73+J76+J79</f>
        <v>1.0325520000000001</v>
      </c>
      <c r="K70" s="23">
        <f>K71+K73+K76+K79</f>
        <v>3.2697480000000003</v>
      </c>
      <c r="L70" s="19"/>
      <c r="M70" s="24"/>
      <c r="P70" s="25">
        <v>390</v>
      </c>
    </row>
    <row r="71" spans="3:16" s="17" customFormat="1" ht="22.5" x14ac:dyDescent="0.2">
      <c r="C71" s="18"/>
      <c r="D71" s="20" t="s">
        <v>138</v>
      </c>
      <c r="E71" s="26" t="s">
        <v>65</v>
      </c>
      <c r="F71" s="22" t="s">
        <v>139</v>
      </c>
      <c r="G71" s="23">
        <f t="shared" si="0"/>
        <v>0</v>
      </c>
      <c r="H71" s="27"/>
      <c r="I71" s="27"/>
      <c r="J71" s="27"/>
      <c r="K71" s="27"/>
      <c r="L71" s="19"/>
      <c r="M71" s="24"/>
      <c r="P71" s="25"/>
    </row>
    <row r="72" spans="3:16" s="17" customFormat="1" ht="12.75" x14ac:dyDescent="0.2">
      <c r="C72" s="18"/>
      <c r="D72" s="20" t="s">
        <v>140</v>
      </c>
      <c r="E72" s="48" t="s">
        <v>68</v>
      </c>
      <c r="F72" s="22" t="s">
        <v>141</v>
      </c>
      <c r="G72" s="23">
        <f t="shared" si="0"/>
        <v>0</v>
      </c>
      <c r="H72" s="27"/>
      <c r="I72" s="27"/>
      <c r="J72" s="27"/>
      <c r="K72" s="27"/>
      <c r="L72" s="19"/>
      <c r="M72" s="24"/>
      <c r="P72" s="25"/>
    </row>
    <row r="73" spans="3:16" s="17" customFormat="1" ht="12.75" x14ac:dyDescent="0.2">
      <c r="C73" s="18"/>
      <c r="D73" s="20" t="s">
        <v>142</v>
      </c>
      <c r="E73" s="26" t="s">
        <v>71</v>
      </c>
      <c r="F73" s="22" t="s">
        <v>143</v>
      </c>
      <c r="G73" s="23">
        <f t="shared" si="0"/>
        <v>4.3023000000000007</v>
      </c>
      <c r="H73" s="27">
        <v>0</v>
      </c>
      <c r="I73" s="27">
        <v>0</v>
      </c>
      <c r="J73" s="42">
        <f>(январь!J73+февраль!J73+март!J73+апрель!J73+май!J73+июнь!J73+июль!J73+август!J73+сентябрь!J73+октябрь!J73+ноябрь!J73+декабрь!J73)/12</f>
        <v>1.0325520000000001</v>
      </c>
      <c r="K73" s="42">
        <f>(январь!K73+февраль!K73+март!K73+апрель!K73+май!K73+июнь!K73+июль!K73+август!K73+сентябрь!K73+октябрь!K73+ноябрь!K73+декабрь!K73)/12</f>
        <v>3.2697480000000003</v>
      </c>
      <c r="L73" s="19"/>
      <c r="M73" s="24"/>
      <c r="P73" s="25"/>
    </row>
    <row r="74" spans="3:16" s="17" customFormat="1" ht="12.75" x14ac:dyDescent="0.2">
      <c r="C74" s="18"/>
      <c r="D74" s="20" t="s">
        <v>144</v>
      </c>
      <c r="E74" s="48" t="s">
        <v>74</v>
      </c>
      <c r="F74" s="22" t="s">
        <v>145</v>
      </c>
      <c r="G74" s="23">
        <f t="shared" si="0"/>
        <v>0</v>
      </c>
      <c r="H74" s="27"/>
      <c r="I74" s="27"/>
      <c r="J74" s="27"/>
      <c r="K74" s="27"/>
      <c r="L74" s="19"/>
      <c r="M74" s="24"/>
      <c r="P74" s="25"/>
    </row>
    <row r="75" spans="3:16" s="17" customFormat="1" ht="12.75" x14ac:dyDescent="0.2">
      <c r="C75" s="18"/>
      <c r="D75" s="20" t="s">
        <v>146</v>
      </c>
      <c r="E75" s="49" t="s">
        <v>68</v>
      </c>
      <c r="F75" s="22" t="s">
        <v>147</v>
      </c>
      <c r="G75" s="23">
        <f t="shared" si="0"/>
        <v>0</v>
      </c>
      <c r="H75" s="27"/>
      <c r="I75" s="27"/>
      <c r="J75" s="27"/>
      <c r="K75" s="27"/>
      <c r="L75" s="19"/>
      <c r="M75" s="24"/>
      <c r="P75" s="25"/>
    </row>
    <row r="76" spans="3:16" s="17" customFormat="1" ht="12.75" x14ac:dyDescent="0.2">
      <c r="C76" s="18"/>
      <c r="D76" s="20" t="s">
        <v>148</v>
      </c>
      <c r="E76" s="26" t="s">
        <v>79</v>
      </c>
      <c r="F76" s="22" t="s">
        <v>149</v>
      </c>
      <c r="G76" s="23">
        <f t="shared" si="0"/>
        <v>0</v>
      </c>
      <c r="H76" s="23">
        <f>SUM(H77:H78)</f>
        <v>0</v>
      </c>
      <c r="I76" s="23">
        <f>SUM(I77:I78)</f>
        <v>0</v>
      </c>
      <c r="J76" s="23">
        <f>SUM(J77:J78)</f>
        <v>0</v>
      </c>
      <c r="K76" s="23">
        <f>SUM(K77:K78)</f>
        <v>0</v>
      </c>
      <c r="L76" s="19"/>
      <c r="M76" s="24"/>
      <c r="P76" s="25"/>
    </row>
    <row r="77" spans="3:16" s="17" customFormat="1" ht="12.75" x14ac:dyDescent="0.2">
      <c r="C77" s="18"/>
      <c r="D77" s="28" t="s">
        <v>150</v>
      </c>
      <c r="E77" s="29"/>
      <c r="F77" s="30" t="s">
        <v>149</v>
      </c>
      <c r="G77" s="31"/>
      <c r="H77" s="31"/>
      <c r="I77" s="31"/>
      <c r="J77" s="31"/>
      <c r="K77" s="31"/>
      <c r="L77" s="19"/>
      <c r="M77" s="24"/>
      <c r="P77" s="25"/>
    </row>
    <row r="78" spans="3:16" s="17" customFormat="1" ht="12.75" x14ac:dyDescent="0.2">
      <c r="C78" s="18"/>
      <c r="D78" s="32"/>
      <c r="E78" s="33" t="s">
        <v>31</v>
      </c>
      <c r="F78" s="34"/>
      <c r="G78" s="34"/>
      <c r="H78" s="34"/>
      <c r="I78" s="34"/>
      <c r="J78" s="34"/>
      <c r="K78" s="35"/>
      <c r="L78" s="19"/>
      <c r="M78" s="24"/>
      <c r="P78" s="25"/>
    </row>
    <row r="79" spans="3:16" s="17" customFormat="1" ht="12.75" x14ac:dyDescent="0.2">
      <c r="C79" s="18"/>
      <c r="D79" s="20" t="s">
        <v>151</v>
      </c>
      <c r="E79" s="51" t="s">
        <v>83</v>
      </c>
      <c r="F79" s="22" t="s">
        <v>152</v>
      </c>
      <c r="G79" s="23">
        <f t="shared" si="0"/>
        <v>0</v>
      </c>
      <c r="H79" s="27"/>
      <c r="I79" s="27"/>
      <c r="J79" s="27"/>
      <c r="K79" s="27"/>
      <c r="L79" s="19"/>
      <c r="M79" s="24"/>
      <c r="P79" s="25">
        <v>410</v>
      </c>
    </row>
    <row r="80" spans="3:16" s="17" customFormat="1" ht="12.75" x14ac:dyDescent="0.2">
      <c r="C80" s="18"/>
      <c r="D80" s="20" t="s">
        <v>153</v>
      </c>
      <c r="E80" s="21" t="s">
        <v>86</v>
      </c>
      <c r="F80" s="22" t="s">
        <v>154</v>
      </c>
      <c r="G80" s="23">
        <f t="shared" si="0"/>
        <v>4.5255826666666668</v>
      </c>
      <c r="H80" s="27">
        <f>H62</f>
        <v>1.0757680000000001</v>
      </c>
      <c r="I80" s="27"/>
      <c r="J80" s="27">
        <f>K67</f>
        <v>3.4498146666666671</v>
      </c>
      <c r="K80" s="27"/>
      <c r="L80" s="19"/>
      <c r="M80" s="24"/>
      <c r="P80" s="25">
        <v>440</v>
      </c>
    </row>
    <row r="81" spans="3:16" s="17" customFormat="1" ht="12.75" x14ac:dyDescent="0.2">
      <c r="C81" s="18"/>
      <c r="D81" s="20" t="s">
        <v>155</v>
      </c>
      <c r="E81" s="21" t="s">
        <v>89</v>
      </c>
      <c r="F81" s="22" t="s">
        <v>156</v>
      </c>
      <c r="G81" s="23">
        <f t="shared" si="0"/>
        <v>0</v>
      </c>
      <c r="H81" s="27"/>
      <c r="I81" s="27"/>
      <c r="J81" s="27"/>
      <c r="K81" s="27"/>
      <c r="L81" s="19"/>
      <c r="M81" s="24"/>
      <c r="P81" s="25">
        <v>450</v>
      </c>
    </row>
    <row r="82" spans="3:16" s="17" customFormat="1" ht="12.75" x14ac:dyDescent="0.2">
      <c r="C82" s="18"/>
      <c r="D82" s="20" t="s">
        <v>157</v>
      </c>
      <c r="E82" s="21" t="s">
        <v>92</v>
      </c>
      <c r="F82" s="22" t="s">
        <v>158</v>
      </c>
      <c r="G82" s="23">
        <f t="shared" si="0"/>
        <v>0</v>
      </c>
      <c r="H82" s="27"/>
      <c r="I82" s="27"/>
      <c r="J82" s="27"/>
      <c r="K82" s="27"/>
      <c r="L82" s="19"/>
      <c r="M82" s="24"/>
      <c r="P82" s="25">
        <v>470</v>
      </c>
    </row>
    <row r="83" spans="3:16" s="17" customFormat="1" ht="12.75" x14ac:dyDescent="0.2">
      <c r="C83" s="18"/>
      <c r="D83" s="20" t="s">
        <v>159</v>
      </c>
      <c r="E83" s="21" t="s">
        <v>95</v>
      </c>
      <c r="F83" s="22" t="s">
        <v>160</v>
      </c>
      <c r="G83" s="23">
        <f t="shared" si="0"/>
        <v>0.18006666666666682</v>
      </c>
      <c r="H83" s="27"/>
      <c r="I83" s="27"/>
      <c r="J83" s="27"/>
      <c r="K83" s="27">
        <f>G62-G73</f>
        <v>0.18006666666666682</v>
      </c>
      <c r="L83" s="19"/>
      <c r="M83" s="24"/>
      <c r="P83" s="25">
        <v>480</v>
      </c>
    </row>
    <row r="84" spans="3:16" s="17" customFormat="1" ht="12.75" x14ac:dyDescent="0.2">
      <c r="C84" s="18"/>
      <c r="D84" s="20" t="s">
        <v>161</v>
      </c>
      <c r="E84" s="26" t="s">
        <v>162</v>
      </c>
      <c r="F84" s="22" t="s">
        <v>163</v>
      </c>
      <c r="G84" s="23">
        <f t="shared" si="0"/>
        <v>0</v>
      </c>
      <c r="H84" s="27"/>
      <c r="I84" s="27"/>
      <c r="J84" s="27"/>
      <c r="K84" s="27"/>
      <c r="L84" s="19"/>
      <c r="M84" s="24"/>
      <c r="P84" s="25">
        <v>490</v>
      </c>
    </row>
    <row r="85" spans="3:16" s="17" customFormat="1" ht="12.75" x14ac:dyDescent="0.2">
      <c r="C85" s="18"/>
      <c r="D85" s="20" t="s">
        <v>164</v>
      </c>
      <c r="E85" s="21" t="s">
        <v>101</v>
      </c>
      <c r="F85" s="22" t="s">
        <v>165</v>
      </c>
      <c r="G85" s="23">
        <f t="shared" si="0"/>
        <v>0.17284166666666664</v>
      </c>
      <c r="H85" s="27"/>
      <c r="I85" s="27"/>
      <c r="J85" s="42">
        <f>(январь!J85+февраль!J85+март!J85+апрель!J85+май!J85+июнь!J85+июль!J85+август!J85+сентябрь!J85+октябрь!J85+ноябрь!J85+декабрь!J85)/12</f>
        <v>0</v>
      </c>
      <c r="K85" s="42">
        <f>(январь!K85+февраль!K85+март!K85+апрель!K85+май!K85+июнь!K85+июль!K85+август!K85+сентябрь!K85+октябрь!K85+ноябрь!K85+декабрь!K85)/12</f>
        <v>0.17284166666666664</v>
      </c>
      <c r="L85" s="19"/>
      <c r="M85" s="24"/>
      <c r="P85" s="25"/>
    </row>
    <row r="86" spans="3:16" s="17" customFormat="1" ht="22.5" x14ac:dyDescent="0.2">
      <c r="C86" s="18"/>
      <c r="D86" s="20" t="s">
        <v>166</v>
      </c>
      <c r="E86" s="46" t="s">
        <v>104</v>
      </c>
      <c r="F86" s="22" t="s">
        <v>167</v>
      </c>
      <c r="G86" s="23">
        <f t="shared" si="0"/>
        <v>7.2250000000001757E-3</v>
      </c>
      <c r="H86" s="23">
        <f>H83-H85</f>
        <v>0</v>
      </c>
      <c r="I86" s="23">
        <f>I83-I85</f>
        <v>0</v>
      </c>
      <c r="J86" s="23">
        <f>J83-J85</f>
        <v>0</v>
      </c>
      <c r="K86" s="23">
        <f>K83-K85</f>
        <v>7.2250000000001757E-3</v>
      </c>
      <c r="L86" s="19"/>
      <c r="M86" s="24"/>
      <c r="P86" s="25"/>
    </row>
    <row r="87" spans="3:16" s="17" customFormat="1" ht="12.75" x14ac:dyDescent="0.2">
      <c r="C87" s="18"/>
      <c r="D87" s="20" t="s">
        <v>168</v>
      </c>
      <c r="E87" s="21" t="s">
        <v>107</v>
      </c>
      <c r="F87" s="22" t="s">
        <v>169</v>
      </c>
      <c r="G87" s="23">
        <f t="shared" si="0"/>
        <v>0</v>
      </c>
      <c r="H87" s="23">
        <f>(H52+H64+H69)-(H70+H80+H81+H82+H83)</f>
        <v>0</v>
      </c>
      <c r="I87" s="23">
        <f>(I52+I64+I69)-(I70+I80+I81+I82+I83)</f>
        <v>0</v>
      </c>
      <c r="J87" s="23">
        <f>(J52+J64+J69)-(J70+J80+J81+J82+J83)</f>
        <v>0</v>
      </c>
      <c r="K87" s="23">
        <f>(K52+K64+K69)-(K70+K80+K81+K82+K83)</f>
        <v>0</v>
      </c>
      <c r="L87" s="19"/>
      <c r="M87" s="24"/>
      <c r="P87" s="25">
        <v>500</v>
      </c>
    </row>
    <row r="88" spans="3:16" s="17" customFormat="1" ht="12.75" x14ac:dyDescent="0.2">
      <c r="C88" s="18"/>
      <c r="D88" s="87" t="s">
        <v>170</v>
      </c>
      <c r="E88" s="88"/>
      <c r="F88" s="88"/>
      <c r="G88" s="88"/>
      <c r="H88" s="88"/>
      <c r="I88" s="88"/>
      <c r="J88" s="88"/>
      <c r="K88" s="89"/>
      <c r="L88" s="19"/>
      <c r="M88" s="24"/>
      <c r="P88" s="36"/>
    </row>
    <row r="89" spans="3:16" s="17" customFormat="1" ht="12.75" x14ac:dyDescent="0.2">
      <c r="C89" s="18"/>
      <c r="D89" s="20" t="s">
        <v>171</v>
      </c>
      <c r="E89" s="21" t="s">
        <v>172</v>
      </c>
      <c r="F89" s="22" t="s">
        <v>173</v>
      </c>
      <c r="G89" s="23">
        <f t="shared" si="0"/>
        <v>4.3023000000000007</v>
      </c>
      <c r="H89" s="27"/>
      <c r="I89" s="27"/>
      <c r="J89" s="42">
        <f>J73</f>
        <v>1.0325520000000001</v>
      </c>
      <c r="K89" s="42">
        <f>K73</f>
        <v>3.2697480000000003</v>
      </c>
      <c r="L89" s="19"/>
      <c r="M89" s="24"/>
      <c r="P89" s="25">
        <v>600</v>
      </c>
    </row>
    <row r="90" spans="3:16" s="17" customFormat="1" ht="12.75" x14ac:dyDescent="0.2">
      <c r="C90" s="18"/>
      <c r="D90" s="20" t="s">
        <v>174</v>
      </c>
      <c r="E90" s="21" t="s">
        <v>175</v>
      </c>
      <c r="F90" s="22" t="s">
        <v>176</v>
      </c>
      <c r="G90" s="23">
        <f t="shared" si="0"/>
        <v>0</v>
      </c>
      <c r="H90" s="27"/>
      <c r="I90" s="27"/>
      <c r="J90" s="27"/>
      <c r="K90" s="27"/>
      <c r="L90" s="19"/>
      <c r="M90" s="24"/>
      <c r="P90" s="25">
        <v>610</v>
      </c>
    </row>
    <row r="91" spans="3:16" s="17" customFormat="1" ht="12.75" x14ac:dyDescent="0.2">
      <c r="C91" s="18"/>
      <c r="D91" s="20" t="s">
        <v>177</v>
      </c>
      <c r="E91" s="21" t="s">
        <v>178</v>
      </c>
      <c r="F91" s="22" t="s">
        <v>179</v>
      </c>
      <c r="G91" s="23">
        <f t="shared" si="0"/>
        <v>0</v>
      </c>
      <c r="H91" s="27"/>
      <c r="I91" s="27"/>
      <c r="J91" s="27"/>
      <c r="K91" s="27"/>
      <c r="L91" s="19"/>
      <c r="M91" s="24"/>
      <c r="P91" s="25">
        <v>620</v>
      </c>
    </row>
    <row r="92" spans="3:16" s="17" customFormat="1" ht="12.75" x14ac:dyDescent="0.2">
      <c r="C92" s="18"/>
      <c r="D92" s="87" t="s">
        <v>180</v>
      </c>
      <c r="E92" s="88"/>
      <c r="F92" s="88"/>
      <c r="G92" s="88"/>
      <c r="H92" s="88"/>
      <c r="I92" s="88"/>
      <c r="J92" s="88"/>
      <c r="K92" s="89"/>
      <c r="L92" s="19"/>
      <c r="M92" s="24"/>
      <c r="P92" s="36"/>
    </row>
    <row r="93" spans="3:16" s="17" customFormat="1" ht="12.75" x14ac:dyDescent="0.2">
      <c r="C93" s="18"/>
      <c r="D93" s="20" t="s">
        <v>181</v>
      </c>
      <c r="E93" s="21" t="s">
        <v>182</v>
      </c>
      <c r="F93" s="22" t="s">
        <v>183</v>
      </c>
      <c r="G93" s="23">
        <f t="shared" si="0"/>
        <v>0</v>
      </c>
      <c r="H93" s="23">
        <f>SUM(H94:H95)</f>
        <v>0</v>
      </c>
      <c r="I93" s="23">
        <f>SUM(I94:I95)</f>
        <v>0</v>
      </c>
      <c r="J93" s="23">
        <f>SUM(J94:J95)</f>
        <v>0</v>
      </c>
      <c r="K93" s="23">
        <f>SUM(K94:K95)</f>
        <v>0</v>
      </c>
      <c r="L93" s="19"/>
      <c r="M93" s="24"/>
      <c r="P93" s="25">
        <v>700</v>
      </c>
    </row>
    <row r="94" spans="3:16" ht="12.75" x14ac:dyDescent="0.2">
      <c r="C94" s="6"/>
      <c r="D94" s="55" t="s">
        <v>184</v>
      </c>
      <c r="E94" s="26" t="s">
        <v>185</v>
      </c>
      <c r="F94" s="22" t="s">
        <v>186</v>
      </c>
      <c r="G94" s="23">
        <f t="shared" si="0"/>
        <v>0</v>
      </c>
      <c r="H94" s="56"/>
      <c r="I94" s="56"/>
      <c r="J94" s="56"/>
      <c r="K94" s="56"/>
      <c r="L94" s="13"/>
      <c r="M94" s="24"/>
      <c r="P94" s="25">
        <v>710</v>
      </c>
    </row>
    <row r="95" spans="3:16" ht="12.75" x14ac:dyDescent="0.2">
      <c r="C95" s="6"/>
      <c r="D95" s="55" t="s">
        <v>187</v>
      </c>
      <c r="E95" s="26" t="s">
        <v>188</v>
      </c>
      <c r="F95" s="22" t="s">
        <v>189</v>
      </c>
      <c r="G95" s="23">
        <f t="shared" si="0"/>
        <v>0</v>
      </c>
      <c r="H95" s="57">
        <f>H98</f>
        <v>0</v>
      </c>
      <c r="I95" s="57">
        <f>I98</f>
        <v>0</v>
      </c>
      <c r="J95" s="57">
        <f>J98</f>
        <v>0</v>
      </c>
      <c r="K95" s="57">
        <f>K98</f>
        <v>0</v>
      </c>
      <c r="L95" s="13"/>
      <c r="M95" s="24"/>
      <c r="P95" s="25">
        <v>720</v>
      </c>
    </row>
    <row r="96" spans="3:16" ht="12.75" x14ac:dyDescent="0.2">
      <c r="C96" s="6"/>
      <c r="D96" s="55" t="s">
        <v>190</v>
      </c>
      <c r="E96" s="48" t="s">
        <v>191</v>
      </c>
      <c r="F96" s="22" t="s">
        <v>192</v>
      </c>
      <c r="G96" s="23">
        <f t="shared" si="0"/>
        <v>0</v>
      </c>
      <c r="H96" s="56"/>
      <c r="I96" s="56"/>
      <c r="J96" s="56"/>
      <c r="K96" s="56"/>
      <c r="L96" s="13"/>
      <c r="M96" s="24"/>
      <c r="P96" s="25">
        <v>730</v>
      </c>
    </row>
    <row r="97" spans="3:16" ht="12.75" x14ac:dyDescent="0.2">
      <c r="C97" s="6"/>
      <c r="D97" s="55" t="s">
        <v>193</v>
      </c>
      <c r="E97" s="49" t="s">
        <v>194</v>
      </c>
      <c r="F97" s="22" t="s">
        <v>195</v>
      </c>
      <c r="G97" s="23">
        <f t="shared" si="0"/>
        <v>0</v>
      </c>
      <c r="H97" s="56"/>
      <c r="I97" s="56"/>
      <c r="J97" s="56"/>
      <c r="K97" s="56"/>
      <c r="L97" s="13"/>
      <c r="M97" s="24"/>
      <c r="P97" s="25"/>
    </row>
    <row r="98" spans="3:16" ht="12.75" x14ac:dyDescent="0.2">
      <c r="C98" s="6"/>
      <c r="D98" s="55" t="s">
        <v>196</v>
      </c>
      <c r="E98" s="48" t="s">
        <v>197</v>
      </c>
      <c r="F98" s="22" t="s">
        <v>198</v>
      </c>
      <c r="G98" s="23">
        <f t="shared" si="0"/>
        <v>0</v>
      </c>
      <c r="H98" s="56"/>
      <c r="I98" s="56"/>
      <c r="J98" s="56"/>
      <c r="K98" s="56"/>
      <c r="L98" s="13"/>
      <c r="M98" s="24"/>
      <c r="P98" s="25">
        <v>740</v>
      </c>
    </row>
    <row r="99" spans="3:16" ht="12.75" x14ac:dyDescent="0.2">
      <c r="C99" s="6"/>
      <c r="D99" s="55" t="s">
        <v>199</v>
      </c>
      <c r="E99" s="21" t="s">
        <v>200</v>
      </c>
      <c r="F99" s="22" t="s">
        <v>201</v>
      </c>
      <c r="G99" s="23">
        <f t="shared" si="0"/>
        <v>0</v>
      </c>
      <c r="H99" s="57">
        <f>H100+H116</f>
        <v>0</v>
      </c>
      <c r="I99" s="57">
        <f>I100+I116</f>
        <v>0</v>
      </c>
      <c r="J99" s="57">
        <f>J100+J116</f>
        <v>0</v>
      </c>
      <c r="K99" s="57">
        <f>K100+K116</f>
        <v>0</v>
      </c>
      <c r="L99" s="13"/>
      <c r="M99" s="24"/>
      <c r="P99" s="25">
        <v>750</v>
      </c>
    </row>
    <row r="100" spans="3:16" ht="12.75" x14ac:dyDescent="0.2">
      <c r="C100" s="6"/>
      <c r="D100" s="55" t="s">
        <v>202</v>
      </c>
      <c r="E100" s="26" t="s">
        <v>203</v>
      </c>
      <c r="F100" s="22" t="s">
        <v>204</v>
      </c>
      <c r="G100" s="23">
        <f t="shared" si="0"/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57">
        <f>K101+K102</f>
        <v>0</v>
      </c>
      <c r="L100" s="13"/>
      <c r="M100" s="24"/>
      <c r="P100" s="25">
        <v>760</v>
      </c>
    </row>
    <row r="101" spans="3:16" ht="12.75" x14ac:dyDescent="0.2">
      <c r="C101" s="6"/>
      <c r="D101" s="55" t="s">
        <v>205</v>
      </c>
      <c r="E101" s="48" t="s">
        <v>206</v>
      </c>
      <c r="F101" s="22" t="s">
        <v>207</v>
      </c>
      <c r="G101" s="23">
        <f t="shared" si="0"/>
        <v>0</v>
      </c>
      <c r="H101" s="56"/>
      <c r="I101" s="56"/>
      <c r="J101" s="56"/>
      <c r="K101" s="56"/>
      <c r="L101" s="13"/>
      <c r="M101" s="24"/>
      <c r="P101" s="25"/>
    </row>
    <row r="102" spans="3:16" ht="12.75" x14ac:dyDescent="0.2">
      <c r="C102" s="6"/>
      <c r="D102" s="55" t="s">
        <v>208</v>
      </c>
      <c r="E102" s="48" t="s">
        <v>209</v>
      </c>
      <c r="F102" s="22" t="s">
        <v>210</v>
      </c>
      <c r="G102" s="23">
        <f t="shared" si="0"/>
        <v>0</v>
      </c>
      <c r="H102" s="57">
        <f>H103+H106+H109+H112+H113+H114+H115</f>
        <v>0</v>
      </c>
      <c r="I102" s="57">
        <f>I103+I106+I109+I112+I113+I114+I115</f>
        <v>0</v>
      </c>
      <c r="J102" s="57">
        <f>J103+J106+J109+J112+J113+J114+J115</f>
        <v>0</v>
      </c>
      <c r="K102" s="57">
        <f>K103+K106+K109+K112+K113+K114+K115</f>
        <v>0</v>
      </c>
      <c r="L102" s="13"/>
      <c r="M102" s="24"/>
      <c r="P102" s="25"/>
    </row>
    <row r="103" spans="3:16" ht="33.75" x14ac:dyDescent="0.2">
      <c r="C103" s="6"/>
      <c r="D103" s="55" t="s">
        <v>211</v>
      </c>
      <c r="E103" s="49" t="s">
        <v>212</v>
      </c>
      <c r="F103" s="22" t="s">
        <v>213</v>
      </c>
      <c r="G103" s="23">
        <f t="shared" si="0"/>
        <v>0</v>
      </c>
      <c r="H103" s="58">
        <f>H104+H105</f>
        <v>0</v>
      </c>
      <c r="I103" s="58">
        <f>I104+I105</f>
        <v>0</v>
      </c>
      <c r="J103" s="58">
        <f>J104+J105</f>
        <v>0</v>
      </c>
      <c r="K103" s="58">
        <f>K104+K105</f>
        <v>0</v>
      </c>
      <c r="L103" s="13"/>
      <c r="M103" s="24"/>
      <c r="P103" s="25"/>
    </row>
    <row r="104" spans="3:16" ht="12.75" x14ac:dyDescent="0.2">
      <c r="C104" s="6"/>
      <c r="D104" s="55" t="s">
        <v>214</v>
      </c>
      <c r="E104" s="59" t="s">
        <v>215</v>
      </c>
      <c r="F104" s="22" t="s">
        <v>216</v>
      </c>
      <c r="G104" s="23">
        <f t="shared" si="0"/>
        <v>0</v>
      </c>
      <c r="H104" s="56"/>
      <c r="I104" s="56"/>
      <c r="J104" s="56"/>
      <c r="K104" s="56"/>
      <c r="L104" s="13"/>
      <c r="M104" s="24"/>
      <c r="P104" s="25"/>
    </row>
    <row r="105" spans="3:16" ht="12.75" x14ac:dyDescent="0.2">
      <c r="C105" s="6"/>
      <c r="D105" s="55" t="s">
        <v>217</v>
      </c>
      <c r="E105" s="59" t="s">
        <v>218</v>
      </c>
      <c r="F105" s="22" t="s">
        <v>219</v>
      </c>
      <c r="G105" s="23">
        <f t="shared" si="0"/>
        <v>0</v>
      </c>
      <c r="H105" s="56"/>
      <c r="I105" s="56"/>
      <c r="J105" s="56"/>
      <c r="K105" s="56"/>
      <c r="L105" s="13"/>
      <c r="M105" s="24"/>
      <c r="P105" s="25"/>
    </row>
    <row r="106" spans="3:16" ht="33.75" x14ac:dyDescent="0.2">
      <c r="C106" s="6"/>
      <c r="D106" s="55" t="s">
        <v>220</v>
      </c>
      <c r="E106" s="49" t="s">
        <v>221</v>
      </c>
      <c r="F106" s="22" t="s">
        <v>222</v>
      </c>
      <c r="G106" s="23">
        <f t="shared" si="0"/>
        <v>0</v>
      </c>
      <c r="H106" s="58">
        <f>H107+H108</f>
        <v>0</v>
      </c>
      <c r="I106" s="58">
        <f>I107+I108</f>
        <v>0</v>
      </c>
      <c r="J106" s="58">
        <f>J107+J108</f>
        <v>0</v>
      </c>
      <c r="K106" s="58">
        <f>K107+K108</f>
        <v>0</v>
      </c>
      <c r="L106" s="13"/>
      <c r="M106" s="24"/>
      <c r="P106" s="25"/>
    </row>
    <row r="107" spans="3:16" ht="12.75" x14ac:dyDescent="0.2">
      <c r="C107" s="6"/>
      <c r="D107" s="55" t="s">
        <v>223</v>
      </c>
      <c r="E107" s="59" t="s">
        <v>215</v>
      </c>
      <c r="F107" s="22" t="s">
        <v>224</v>
      </c>
      <c r="G107" s="23">
        <f t="shared" si="0"/>
        <v>0</v>
      </c>
      <c r="H107" s="56"/>
      <c r="I107" s="56"/>
      <c r="J107" s="56"/>
      <c r="K107" s="56"/>
      <c r="L107" s="13"/>
      <c r="M107" s="24"/>
      <c r="P107" s="25"/>
    </row>
    <row r="108" spans="3:16" ht="12.75" x14ac:dyDescent="0.2">
      <c r="C108" s="6"/>
      <c r="D108" s="55" t="s">
        <v>225</v>
      </c>
      <c r="E108" s="59" t="s">
        <v>218</v>
      </c>
      <c r="F108" s="22" t="s">
        <v>226</v>
      </c>
      <c r="G108" s="23">
        <f t="shared" si="0"/>
        <v>0</v>
      </c>
      <c r="H108" s="56"/>
      <c r="I108" s="56"/>
      <c r="J108" s="56"/>
      <c r="K108" s="56"/>
      <c r="L108" s="13"/>
      <c r="M108" s="24"/>
      <c r="P108" s="25"/>
    </row>
    <row r="109" spans="3:16" ht="22.5" x14ac:dyDescent="0.2">
      <c r="C109" s="6"/>
      <c r="D109" s="55" t="s">
        <v>227</v>
      </c>
      <c r="E109" s="49" t="s">
        <v>228</v>
      </c>
      <c r="F109" s="22" t="s">
        <v>229</v>
      </c>
      <c r="G109" s="23">
        <f t="shared" si="0"/>
        <v>0</v>
      </c>
      <c r="H109" s="58">
        <f>H110+H111</f>
        <v>0</v>
      </c>
      <c r="I109" s="58">
        <f>I110+I111</f>
        <v>0</v>
      </c>
      <c r="J109" s="58">
        <f>J110+J111</f>
        <v>0</v>
      </c>
      <c r="K109" s="58">
        <f>K110+K111</f>
        <v>0</v>
      </c>
      <c r="L109" s="13"/>
      <c r="M109" s="24"/>
      <c r="P109" s="25"/>
    </row>
    <row r="110" spans="3:16" ht="12.75" x14ac:dyDescent="0.2">
      <c r="C110" s="6"/>
      <c r="D110" s="55" t="s">
        <v>230</v>
      </c>
      <c r="E110" s="59" t="s">
        <v>215</v>
      </c>
      <c r="F110" s="22" t="s">
        <v>231</v>
      </c>
      <c r="G110" s="23">
        <f t="shared" si="0"/>
        <v>0</v>
      </c>
      <c r="H110" s="56"/>
      <c r="I110" s="56"/>
      <c r="J110" s="56"/>
      <c r="K110" s="56"/>
      <c r="L110" s="13"/>
      <c r="M110" s="24"/>
      <c r="P110" s="25"/>
    </row>
    <row r="111" spans="3:16" ht="12.75" x14ac:dyDescent="0.2">
      <c r="C111" s="6"/>
      <c r="D111" s="55" t="s">
        <v>232</v>
      </c>
      <c r="E111" s="59" t="s">
        <v>218</v>
      </c>
      <c r="F111" s="22" t="s">
        <v>233</v>
      </c>
      <c r="G111" s="23">
        <f t="shared" si="0"/>
        <v>0</v>
      </c>
      <c r="H111" s="56"/>
      <c r="I111" s="56"/>
      <c r="J111" s="56"/>
      <c r="K111" s="56"/>
      <c r="L111" s="13"/>
      <c r="M111" s="24"/>
      <c r="P111" s="25"/>
    </row>
    <row r="112" spans="3:16" ht="12.75" x14ac:dyDescent="0.2">
      <c r="C112" s="6"/>
      <c r="D112" s="55" t="s">
        <v>234</v>
      </c>
      <c r="E112" s="49" t="s">
        <v>235</v>
      </c>
      <c r="F112" s="22" t="s">
        <v>236</v>
      </c>
      <c r="G112" s="23">
        <f t="shared" si="0"/>
        <v>0</v>
      </c>
      <c r="H112" s="56"/>
      <c r="I112" s="56"/>
      <c r="J112" s="56"/>
      <c r="K112" s="56"/>
      <c r="L112" s="13"/>
      <c r="M112" s="24"/>
      <c r="P112" s="25"/>
    </row>
    <row r="113" spans="3:16" ht="12.75" x14ac:dyDescent="0.2">
      <c r="C113" s="6"/>
      <c r="D113" s="55" t="s">
        <v>237</v>
      </c>
      <c r="E113" s="49" t="s">
        <v>238</v>
      </c>
      <c r="F113" s="22" t="s">
        <v>239</v>
      </c>
      <c r="G113" s="23">
        <f t="shared" si="0"/>
        <v>0</v>
      </c>
      <c r="H113" s="56"/>
      <c r="I113" s="56"/>
      <c r="J113" s="56"/>
      <c r="K113" s="56"/>
      <c r="L113" s="13"/>
      <c r="M113" s="24"/>
      <c r="P113" s="25"/>
    </row>
    <row r="114" spans="3:16" ht="33.75" x14ac:dyDescent="0.2">
      <c r="C114" s="6"/>
      <c r="D114" s="55" t="s">
        <v>240</v>
      </c>
      <c r="E114" s="49" t="s">
        <v>241</v>
      </c>
      <c r="F114" s="22" t="s">
        <v>242</v>
      </c>
      <c r="G114" s="23">
        <f t="shared" si="0"/>
        <v>0</v>
      </c>
      <c r="H114" s="56"/>
      <c r="I114" s="56"/>
      <c r="J114" s="56"/>
      <c r="K114" s="56"/>
      <c r="L114" s="13"/>
      <c r="M114" s="24"/>
      <c r="P114" s="25"/>
    </row>
    <row r="115" spans="3:16" ht="22.5" x14ac:dyDescent="0.2">
      <c r="C115" s="6"/>
      <c r="D115" s="55" t="s">
        <v>243</v>
      </c>
      <c r="E115" s="49" t="s">
        <v>244</v>
      </c>
      <c r="F115" s="22" t="s">
        <v>245</v>
      </c>
      <c r="G115" s="23">
        <f t="shared" si="0"/>
        <v>0</v>
      </c>
      <c r="H115" s="56"/>
      <c r="I115" s="56"/>
      <c r="J115" s="56"/>
      <c r="K115" s="56"/>
      <c r="L115" s="13"/>
      <c r="M115" s="24"/>
      <c r="P115" s="25"/>
    </row>
    <row r="116" spans="3:16" ht="12.75" x14ac:dyDescent="0.2">
      <c r="C116" s="6"/>
      <c r="D116" s="55" t="s">
        <v>246</v>
      </c>
      <c r="E116" s="26" t="s">
        <v>247</v>
      </c>
      <c r="F116" s="22" t="s">
        <v>248</v>
      </c>
      <c r="G116" s="23">
        <f t="shared" si="0"/>
        <v>0</v>
      </c>
      <c r="H116" s="57">
        <f>H119</f>
        <v>0</v>
      </c>
      <c r="I116" s="57">
        <f>I119</f>
        <v>0</v>
      </c>
      <c r="J116" s="57">
        <f>J119</f>
        <v>0</v>
      </c>
      <c r="K116" s="57">
        <f>K119</f>
        <v>0</v>
      </c>
      <c r="L116" s="13"/>
      <c r="M116" s="24"/>
      <c r="P116" s="25">
        <v>770</v>
      </c>
    </row>
    <row r="117" spans="3:16" ht="12.75" x14ac:dyDescent="0.2">
      <c r="C117" s="6"/>
      <c r="D117" s="55" t="s">
        <v>249</v>
      </c>
      <c r="E117" s="48" t="s">
        <v>191</v>
      </c>
      <c r="F117" s="22" t="s">
        <v>250</v>
      </c>
      <c r="G117" s="23">
        <f t="shared" si="0"/>
        <v>0</v>
      </c>
      <c r="H117" s="56"/>
      <c r="I117" s="56"/>
      <c r="J117" s="56"/>
      <c r="K117" s="56"/>
      <c r="L117" s="13"/>
      <c r="M117" s="24"/>
      <c r="P117" s="25">
        <v>780</v>
      </c>
    </row>
    <row r="118" spans="3:16" ht="12.75" x14ac:dyDescent="0.2">
      <c r="C118" s="6"/>
      <c r="D118" s="55" t="s">
        <v>251</v>
      </c>
      <c r="E118" s="49" t="s">
        <v>252</v>
      </c>
      <c r="F118" s="22" t="s">
        <v>253</v>
      </c>
      <c r="G118" s="23">
        <f t="shared" si="0"/>
        <v>0</v>
      </c>
      <c r="H118" s="56"/>
      <c r="I118" s="56"/>
      <c r="J118" s="56"/>
      <c r="K118" s="56"/>
      <c r="L118" s="13"/>
      <c r="M118" s="24"/>
      <c r="P118" s="25"/>
    </row>
    <row r="119" spans="3:16" ht="12.75" x14ac:dyDescent="0.2">
      <c r="C119" s="6"/>
      <c r="D119" s="55" t="s">
        <v>254</v>
      </c>
      <c r="E119" s="48" t="s">
        <v>197</v>
      </c>
      <c r="F119" s="22" t="s">
        <v>255</v>
      </c>
      <c r="G119" s="23">
        <f t="shared" si="0"/>
        <v>0</v>
      </c>
      <c r="H119" s="56"/>
      <c r="I119" s="56"/>
      <c r="J119" s="56"/>
      <c r="K119" s="56"/>
      <c r="L119" s="13"/>
      <c r="M119" s="24"/>
      <c r="P119" s="25">
        <v>790</v>
      </c>
    </row>
    <row r="120" spans="3:16" ht="12.75" x14ac:dyDescent="0.2">
      <c r="C120" s="6"/>
      <c r="D120" s="55" t="s">
        <v>256</v>
      </c>
      <c r="E120" s="46" t="s">
        <v>257</v>
      </c>
      <c r="F120" s="22" t="s">
        <v>258</v>
      </c>
      <c r="G120" s="23">
        <f t="shared" si="0"/>
        <v>24148.171999999999</v>
      </c>
      <c r="H120" s="57">
        <f>SUM(H121:H122)</f>
        <v>0</v>
      </c>
      <c r="I120" s="57">
        <f>SUM(I121:I122)</f>
        <v>0</v>
      </c>
      <c r="J120" s="57">
        <f>SUM(J121:J122)</f>
        <v>2610.9679999999998</v>
      </c>
      <c r="K120" s="57">
        <f>SUM(K121:K122)</f>
        <v>21537.203999999998</v>
      </c>
      <c r="L120" s="13"/>
      <c r="M120" s="24"/>
      <c r="P120" s="25"/>
    </row>
    <row r="121" spans="3:16" ht="12.75" x14ac:dyDescent="0.2">
      <c r="C121" s="6"/>
      <c r="D121" s="55" t="s">
        <v>259</v>
      </c>
      <c r="E121" s="26" t="s">
        <v>185</v>
      </c>
      <c r="F121" s="22" t="s">
        <v>260</v>
      </c>
      <c r="G121" s="23">
        <f t="shared" si="0"/>
        <v>24148.171999999999</v>
      </c>
      <c r="H121" s="56"/>
      <c r="I121" s="56"/>
      <c r="J121" s="56">
        <f>J36</f>
        <v>2610.9679999999998</v>
      </c>
      <c r="K121" s="56">
        <f>K36</f>
        <v>21537.203999999998</v>
      </c>
      <c r="L121" s="13"/>
      <c r="M121" s="24"/>
      <c r="P121" s="25"/>
    </row>
    <row r="122" spans="3:16" ht="12.75" x14ac:dyDescent="0.2">
      <c r="C122" s="6"/>
      <c r="D122" s="55" t="s">
        <v>261</v>
      </c>
      <c r="E122" s="26" t="s">
        <v>188</v>
      </c>
      <c r="F122" s="22" t="s">
        <v>262</v>
      </c>
      <c r="G122" s="23">
        <f t="shared" si="0"/>
        <v>0</v>
      </c>
      <c r="H122" s="57">
        <f>H124</f>
        <v>0</v>
      </c>
      <c r="I122" s="57">
        <f>I124</f>
        <v>0</v>
      </c>
      <c r="J122" s="57">
        <f>J124</f>
        <v>0</v>
      </c>
      <c r="K122" s="57">
        <f>K124</f>
        <v>0</v>
      </c>
      <c r="L122" s="13"/>
      <c r="M122" s="24"/>
      <c r="P122" s="25"/>
    </row>
    <row r="123" spans="3:16" ht="12.75" x14ac:dyDescent="0.2">
      <c r="C123" s="6"/>
      <c r="D123" s="55" t="s">
        <v>263</v>
      </c>
      <c r="E123" s="48" t="s">
        <v>264</v>
      </c>
      <c r="F123" s="22" t="s">
        <v>265</v>
      </c>
      <c r="G123" s="23">
        <f t="shared" si="0"/>
        <v>0</v>
      </c>
      <c r="H123" s="56"/>
      <c r="I123" s="56"/>
      <c r="J123" s="56"/>
      <c r="K123" s="56"/>
      <c r="L123" s="13"/>
      <c r="M123" s="24"/>
      <c r="P123" s="25"/>
    </row>
    <row r="124" spans="3:16" ht="12.75" x14ac:dyDescent="0.2">
      <c r="C124" s="6"/>
      <c r="D124" s="55" t="s">
        <v>266</v>
      </c>
      <c r="E124" s="48" t="s">
        <v>197</v>
      </c>
      <c r="F124" s="22" t="s">
        <v>267</v>
      </c>
      <c r="G124" s="23">
        <f t="shared" si="0"/>
        <v>0</v>
      </c>
      <c r="H124" s="56"/>
      <c r="I124" s="56"/>
      <c r="J124" s="56"/>
      <c r="K124" s="56"/>
      <c r="L124" s="13"/>
      <c r="M124" s="24"/>
      <c r="P124" s="25"/>
    </row>
    <row r="125" spans="3:16" ht="12.75" x14ac:dyDescent="0.2">
      <c r="C125" s="6"/>
      <c r="D125" s="87" t="s">
        <v>268</v>
      </c>
      <c r="E125" s="88"/>
      <c r="F125" s="88"/>
      <c r="G125" s="88"/>
      <c r="H125" s="88"/>
      <c r="I125" s="88"/>
      <c r="J125" s="88"/>
      <c r="K125" s="89"/>
      <c r="L125" s="13"/>
      <c r="M125" s="24"/>
      <c r="P125" s="60"/>
    </row>
    <row r="126" spans="3:16" ht="22.5" x14ac:dyDescent="0.2">
      <c r="C126" s="6"/>
      <c r="D126" s="55" t="s">
        <v>269</v>
      </c>
      <c r="E126" s="21" t="s">
        <v>270</v>
      </c>
      <c r="F126" s="22" t="s">
        <v>271</v>
      </c>
      <c r="G126" s="23">
        <f t="shared" si="0"/>
        <v>0</v>
      </c>
      <c r="H126" s="57">
        <f>SUM( H127:H128)</f>
        <v>0</v>
      </c>
      <c r="I126" s="57">
        <f>SUM( I127:I128)</f>
        <v>0</v>
      </c>
      <c r="J126" s="57">
        <f>SUM( J127:J128)</f>
        <v>0</v>
      </c>
      <c r="K126" s="57">
        <f>SUM( K127:K128)</f>
        <v>0</v>
      </c>
      <c r="L126" s="13"/>
      <c r="M126" s="24"/>
      <c r="P126" s="25">
        <v>800</v>
      </c>
    </row>
    <row r="127" spans="3:16" ht="12.75" x14ac:dyDescent="0.2">
      <c r="C127" s="6"/>
      <c r="D127" s="55" t="s">
        <v>272</v>
      </c>
      <c r="E127" s="26" t="s">
        <v>185</v>
      </c>
      <c r="F127" s="22" t="s">
        <v>273</v>
      </c>
      <c r="G127" s="23">
        <f t="shared" si="0"/>
        <v>0</v>
      </c>
      <c r="H127" s="56"/>
      <c r="I127" s="56"/>
      <c r="J127" s="56"/>
      <c r="K127" s="56"/>
      <c r="L127" s="13"/>
      <c r="M127" s="24"/>
      <c r="P127" s="25">
        <v>810</v>
      </c>
    </row>
    <row r="128" spans="3:16" ht="12.75" x14ac:dyDescent="0.2">
      <c r="C128" s="6"/>
      <c r="D128" s="55" t="s">
        <v>274</v>
      </c>
      <c r="E128" s="26" t="s">
        <v>188</v>
      </c>
      <c r="F128" s="22" t="s">
        <v>275</v>
      </c>
      <c r="G128" s="23">
        <f t="shared" si="0"/>
        <v>0</v>
      </c>
      <c r="H128" s="57">
        <f>H129+H131</f>
        <v>0</v>
      </c>
      <c r="I128" s="57">
        <f>I129+I131</f>
        <v>0</v>
      </c>
      <c r="J128" s="57">
        <f>J129+J131</f>
        <v>0</v>
      </c>
      <c r="K128" s="57">
        <f>K129+K131</f>
        <v>0</v>
      </c>
      <c r="L128" s="13"/>
      <c r="M128" s="24"/>
      <c r="P128" s="25">
        <v>820</v>
      </c>
    </row>
    <row r="129" spans="3:16" ht="12.75" x14ac:dyDescent="0.2">
      <c r="C129" s="6"/>
      <c r="D129" s="55" t="s">
        <v>276</v>
      </c>
      <c r="E129" s="48" t="s">
        <v>277</v>
      </c>
      <c r="F129" s="22" t="s">
        <v>278</v>
      </c>
      <c r="G129" s="23">
        <f t="shared" si="0"/>
        <v>0</v>
      </c>
      <c r="H129" s="56"/>
      <c r="I129" s="56"/>
      <c r="J129" s="56"/>
      <c r="K129" s="56"/>
      <c r="L129" s="13"/>
      <c r="M129" s="24"/>
      <c r="P129" s="25">
        <v>830</v>
      </c>
    </row>
    <row r="130" spans="3:16" ht="12.75" x14ac:dyDescent="0.2">
      <c r="C130" s="6"/>
      <c r="D130" s="55" t="s">
        <v>279</v>
      </c>
      <c r="E130" s="49" t="s">
        <v>280</v>
      </c>
      <c r="F130" s="22" t="s">
        <v>281</v>
      </c>
      <c r="G130" s="23">
        <f t="shared" si="0"/>
        <v>0</v>
      </c>
      <c r="H130" s="56"/>
      <c r="I130" s="56"/>
      <c r="J130" s="56"/>
      <c r="K130" s="56"/>
      <c r="L130" s="13"/>
      <c r="M130" s="24"/>
      <c r="P130" s="60"/>
    </row>
    <row r="131" spans="3:16" ht="12.75" x14ac:dyDescent="0.2">
      <c r="C131" s="6"/>
      <c r="D131" s="55" t="s">
        <v>282</v>
      </c>
      <c r="E131" s="48" t="s">
        <v>283</v>
      </c>
      <c r="F131" s="22" t="s">
        <v>284</v>
      </c>
      <c r="G131" s="23">
        <f t="shared" si="0"/>
        <v>0</v>
      </c>
      <c r="H131" s="56"/>
      <c r="I131" s="56"/>
      <c r="J131" s="56"/>
      <c r="K131" s="56"/>
      <c r="L131" s="13"/>
      <c r="M131" s="24"/>
      <c r="P131" s="25">
        <v>840</v>
      </c>
    </row>
    <row r="132" spans="3:16" ht="12.75" x14ac:dyDescent="0.2">
      <c r="C132" s="6"/>
      <c r="D132" s="55" t="s">
        <v>30</v>
      </c>
      <c r="E132" s="21" t="s">
        <v>285</v>
      </c>
      <c r="F132" s="22" t="s">
        <v>286</v>
      </c>
      <c r="G132" s="23">
        <f t="shared" si="0"/>
        <v>0</v>
      </c>
      <c r="H132" s="58">
        <f>SUM( H133+H138)</f>
        <v>0</v>
      </c>
      <c r="I132" s="58">
        <f>SUM( I133+I138)</f>
        <v>0</v>
      </c>
      <c r="J132" s="58">
        <f>SUM( J133+J138)</f>
        <v>0</v>
      </c>
      <c r="K132" s="58">
        <f>SUM( K133+K138)</f>
        <v>0</v>
      </c>
      <c r="L132" s="61"/>
      <c r="M132" s="24"/>
      <c r="P132" s="25">
        <v>850</v>
      </c>
    </row>
    <row r="133" spans="3:16" ht="12.75" x14ac:dyDescent="0.2">
      <c r="C133" s="6"/>
      <c r="D133" s="55" t="s">
        <v>287</v>
      </c>
      <c r="E133" s="26" t="s">
        <v>185</v>
      </c>
      <c r="F133" s="22" t="s">
        <v>288</v>
      </c>
      <c r="G133" s="23">
        <f t="shared" ref="G133:G146" si="1">SUM(H133:K133)</f>
        <v>0</v>
      </c>
      <c r="H133" s="58">
        <f>SUM( H134:H135)</f>
        <v>0</v>
      </c>
      <c r="I133" s="58">
        <f>SUM( I134:I135)</f>
        <v>0</v>
      </c>
      <c r="J133" s="58">
        <f>SUM( J134:J135)</f>
        <v>0</v>
      </c>
      <c r="K133" s="58">
        <f>SUM( K134:K135)</f>
        <v>0</v>
      </c>
      <c r="L133" s="61"/>
      <c r="M133" s="24"/>
      <c r="P133" s="25">
        <v>860</v>
      </c>
    </row>
    <row r="134" spans="3:16" ht="12.75" x14ac:dyDescent="0.2">
      <c r="C134" s="6"/>
      <c r="D134" s="55" t="s">
        <v>289</v>
      </c>
      <c r="E134" s="48" t="s">
        <v>206</v>
      </c>
      <c r="F134" s="22" t="s">
        <v>290</v>
      </c>
      <c r="G134" s="23">
        <f t="shared" si="1"/>
        <v>0</v>
      </c>
      <c r="H134" s="62"/>
      <c r="I134" s="62"/>
      <c r="J134" s="62"/>
      <c r="K134" s="62"/>
      <c r="L134" s="61"/>
      <c r="M134" s="24"/>
      <c r="P134" s="25"/>
    </row>
    <row r="135" spans="3:16" ht="12.75" x14ac:dyDescent="0.2">
      <c r="C135" s="6"/>
      <c r="D135" s="55" t="s">
        <v>291</v>
      </c>
      <c r="E135" s="48" t="s">
        <v>209</v>
      </c>
      <c r="F135" s="22" t="s">
        <v>292</v>
      </c>
      <c r="G135" s="23">
        <f t="shared" si="1"/>
        <v>0</v>
      </c>
      <c r="H135" s="58">
        <f>H136+H137</f>
        <v>0</v>
      </c>
      <c r="I135" s="58">
        <f>I136+I137</f>
        <v>0</v>
      </c>
      <c r="J135" s="58">
        <f>J136+J137</f>
        <v>0</v>
      </c>
      <c r="K135" s="58">
        <f>K136+K137</f>
        <v>0</v>
      </c>
      <c r="L135" s="61"/>
      <c r="M135" s="24"/>
      <c r="P135" s="25"/>
    </row>
    <row r="136" spans="3:16" ht="12.75" x14ac:dyDescent="0.2">
      <c r="C136" s="6"/>
      <c r="D136" s="55" t="s">
        <v>293</v>
      </c>
      <c r="E136" s="49" t="s">
        <v>215</v>
      </c>
      <c r="F136" s="22" t="s">
        <v>294</v>
      </c>
      <c r="G136" s="23">
        <f t="shared" si="1"/>
        <v>0</v>
      </c>
      <c r="H136" s="62"/>
      <c r="I136" s="62"/>
      <c r="J136" s="62"/>
      <c r="K136" s="62"/>
      <c r="L136" s="61"/>
      <c r="M136" s="24"/>
      <c r="P136" s="25"/>
    </row>
    <row r="137" spans="3:16" ht="12.75" x14ac:dyDescent="0.2">
      <c r="C137" s="6"/>
      <c r="D137" s="55" t="s">
        <v>295</v>
      </c>
      <c r="E137" s="49" t="s">
        <v>296</v>
      </c>
      <c r="F137" s="22" t="s">
        <v>297</v>
      </c>
      <c r="G137" s="23">
        <f t="shared" si="1"/>
        <v>0</v>
      </c>
      <c r="H137" s="62"/>
      <c r="I137" s="62"/>
      <c r="J137" s="62"/>
      <c r="K137" s="62"/>
      <c r="L137" s="61"/>
      <c r="M137" s="24"/>
      <c r="P137" s="25"/>
    </row>
    <row r="138" spans="3:16" ht="12.75" x14ac:dyDescent="0.2">
      <c r="C138" s="6"/>
      <c r="D138" s="55" t="s">
        <v>298</v>
      </c>
      <c r="E138" s="26" t="s">
        <v>247</v>
      </c>
      <c r="F138" s="22" t="s">
        <v>299</v>
      </c>
      <c r="G138" s="23">
        <f t="shared" si="1"/>
        <v>0</v>
      </c>
      <c r="H138" s="58">
        <f>H139+H141</f>
        <v>0</v>
      </c>
      <c r="I138" s="58">
        <f>I139+I141</f>
        <v>0</v>
      </c>
      <c r="J138" s="58">
        <f>J139+J141</f>
        <v>0</v>
      </c>
      <c r="K138" s="58">
        <f>K139+K141</f>
        <v>0</v>
      </c>
      <c r="L138" s="61"/>
      <c r="M138" s="24"/>
      <c r="P138" s="25">
        <v>870</v>
      </c>
    </row>
    <row r="139" spans="3:16" ht="12.75" x14ac:dyDescent="0.2">
      <c r="C139" s="6"/>
      <c r="D139" s="55" t="s">
        <v>300</v>
      </c>
      <c r="E139" s="48" t="s">
        <v>277</v>
      </c>
      <c r="F139" s="22" t="s">
        <v>301</v>
      </c>
      <c r="G139" s="23">
        <f t="shared" si="1"/>
        <v>0</v>
      </c>
      <c r="H139" s="56"/>
      <c r="I139" s="56"/>
      <c r="J139" s="56"/>
      <c r="K139" s="56"/>
      <c r="L139" s="61"/>
      <c r="M139" s="24"/>
      <c r="P139" s="25">
        <v>880</v>
      </c>
    </row>
    <row r="140" spans="3:16" ht="12.75" x14ac:dyDescent="0.2">
      <c r="C140" s="6"/>
      <c r="D140" s="55" t="s">
        <v>302</v>
      </c>
      <c r="E140" s="49" t="s">
        <v>280</v>
      </c>
      <c r="F140" s="22" t="s">
        <v>303</v>
      </c>
      <c r="G140" s="23">
        <f t="shared" si="1"/>
        <v>0</v>
      </c>
      <c r="H140" s="56"/>
      <c r="I140" s="56"/>
      <c r="J140" s="56"/>
      <c r="K140" s="56"/>
      <c r="L140" s="61"/>
      <c r="M140" s="24"/>
      <c r="P140" s="25"/>
    </row>
    <row r="141" spans="3:16" ht="12.75" x14ac:dyDescent="0.2">
      <c r="C141" s="6"/>
      <c r="D141" s="55" t="s">
        <v>304</v>
      </c>
      <c r="E141" s="48" t="s">
        <v>283</v>
      </c>
      <c r="F141" s="22" t="s">
        <v>305</v>
      </c>
      <c r="G141" s="23">
        <f t="shared" si="1"/>
        <v>0</v>
      </c>
      <c r="H141" s="63"/>
      <c r="I141" s="63"/>
      <c r="J141" s="63"/>
      <c r="K141" s="63"/>
      <c r="L141" s="61"/>
      <c r="M141" s="24"/>
      <c r="P141" s="25">
        <v>890</v>
      </c>
    </row>
    <row r="142" spans="3:16" ht="12.75" x14ac:dyDescent="0.2">
      <c r="C142" s="6"/>
      <c r="D142" s="55" t="s">
        <v>306</v>
      </c>
      <c r="E142" s="21" t="s">
        <v>307</v>
      </c>
      <c r="F142" s="22" t="s">
        <v>308</v>
      </c>
      <c r="G142" s="23">
        <f t="shared" si="1"/>
        <v>35159.738431999998</v>
      </c>
      <c r="H142" s="64">
        <f>SUM( H143:H144)</f>
        <v>0</v>
      </c>
      <c r="I142" s="64">
        <f>SUM( I143:I144)</f>
        <v>0</v>
      </c>
      <c r="J142" s="64">
        <f>SUM( J143:J144)</f>
        <v>3801.5694080000003</v>
      </c>
      <c r="K142" s="64">
        <f>SUM( K143:K144)</f>
        <v>31358.169023999995</v>
      </c>
      <c r="L142" s="61"/>
      <c r="M142" s="24"/>
      <c r="P142" s="25">
        <v>900</v>
      </c>
    </row>
    <row r="143" spans="3:16" ht="12.75" x14ac:dyDescent="0.2">
      <c r="C143" s="6"/>
      <c r="D143" s="55" t="s">
        <v>309</v>
      </c>
      <c r="E143" s="26" t="s">
        <v>185</v>
      </c>
      <c r="F143" s="22" t="s">
        <v>310</v>
      </c>
      <c r="G143" s="23">
        <f t="shared" si="1"/>
        <v>35159.738431999998</v>
      </c>
      <c r="H143" s="63"/>
      <c r="I143" s="63"/>
      <c r="J143" s="42">
        <f>'1 пг'!J143+'2 пг'!J143</f>
        <v>3801.5694080000003</v>
      </c>
      <c r="K143" s="42">
        <f>'1 пг'!K143+'2 пг'!K143</f>
        <v>31358.169023999995</v>
      </c>
      <c r="L143" s="61"/>
      <c r="M143" s="24"/>
      <c r="P143" s="25"/>
    </row>
    <row r="144" spans="3:16" ht="12.75" x14ac:dyDescent="0.2">
      <c r="C144" s="6"/>
      <c r="D144" s="55" t="s">
        <v>311</v>
      </c>
      <c r="E144" s="26" t="s">
        <v>188</v>
      </c>
      <c r="F144" s="22" t="s">
        <v>312</v>
      </c>
      <c r="G144" s="23">
        <f t="shared" si="1"/>
        <v>0</v>
      </c>
      <c r="H144" s="64">
        <f>H145+H146</f>
        <v>0</v>
      </c>
      <c r="I144" s="64">
        <f>I145+I146</f>
        <v>0</v>
      </c>
      <c r="J144" s="64">
        <f>J145+J146</f>
        <v>0</v>
      </c>
      <c r="K144" s="64">
        <f>K145+K146</f>
        <v>0</v>
      </c>
      <c r="L144" s="61"/>
      <c r="M144" s="24"/>
      <c r="P144" s="25"/>
    </row>
    <row r="145" spans="3:19" ht="12.75" x14ac:dyDescent="0.2">
      <c r="C145" s="6"/>
      <c r="D145" s="55" t="s">
        <v>313</v>
      </c>
      <c r="E145" s="48" t="s">
        <v>314</v>
      </c>
      <c r="F145" s="22" t="s">
        <v>315</v>
      </c>
      <c r="G145" s="23">
        <f t="shared" si="1"/>
        <v>0</v>
      </c>
      <c r="H145" s="63"/>
      <c r="I145" s="63"/>
      <c r="J145" s="63"/>
      <c r="K145" s="63"/>
      <c r="L145" s="61"/>
      <c r="M145" s="24"/>
      <c r="P145" s="25" t="s">
        <v>316</v>
      </c>
    </row>
    <row r="146" spans="3:19" ht="12.75" x14ac:dyDescent="0.2">
      <c r="C146" s="6"/>
      <c r="D146" s="55" t="s">
        <v>317</v>
      </c>
      <c r="E146" s="48" t="s">
        <v>283</v>
      </c>
      <c r="F146" s="22" t="s">
        <v>318</v>
      </c>
      <c r="G146" s="23">
        <f t="shared" si="1"/>
        <v>0</v>
      </c>
      <c r="H146" s="63"/>
      <c r="I146" s="63"/>
      <c r="J146" s="63"/>
      <c r="K146" s="66"/>
      <c r="L146" s="61"/>
      <c r="M146" s="24"/>
      <c r="P146" s="25" t="s">
        <v>319</v>
      </c>
    </row>
    <row r="147" spans="3:19" x14ac:dyDescent="0.25">
      <c r="D147" s="11"/>
      <c r="E147" s="67"/>
      <c r="F147" s="67"/>
      <c r="G147" s="67"/>
      <c r="H147" s="67"/>
      <c r="I147" s="67"/>
      <c r="J147" s="67"/>
      <c r="K147" s="68"/>
      <c r="L147" s="68"/>
      <c r="M147" s="68"/>
      <c r="N147" s="68"/>
      <c r="O147" s="68"/>
      <c r="P147" s="68"/>
      <c r="Q147" s="68"/>
      <c r="R147" s="69"/>
      <c r="S147" s="69"/>
    </row>
    <row r="148" spans="3:19" ht="12.75" x14ac:dyDescent="0.2">
      <c r="E148" s="24" t="s">
        <v>320</v>
      </c>
      <c r="F148" s="79" t="str">
        <f>IF([1]Титульный!G45="","",[1]Титульный!G45)</f>
        <v>Коммерческий директор</v>
      </c>
      <c r="G148" s="79"/>
      <c r="H148" s="70"/>
      <c r="I148" s="79" t="str">
        <f>IF([1]Титульный!G44="","",[1]Титульный!G44)</f>
        <v>Байков Алексей Александрович</v>
      </c>
      <c r="J148" s="79"/>
      <c r="K148" s="79"/>
      <c r="L148" s="70"/>
      <c r="M148" s="71"/>
      <c r="N148" s="71"/>
      <c r="O148" s="72"/>
      <c r="P148" s="68"/>
      <c r="Q148" s="68"/>
      <c r="R148" s="69"/>
      <c r="S148" s="69"/>
    </row>
    <row r="149" spans="3:19" ht="12.75" x14ac:dyDescent="0.2">
      <c r="E149" s="73" t="s">
        <v>321</v>
      </c>
      <c r="F149" s="78" t="s">
        <v>322</v>
      </c>
      <c r="G149" s="78"/>
      <c r="H149" s="72"/>
      <c r="I149" s="78" t="s">
        <v>323</v>
      </c>
      <c r="J149" s="78"/>
      <c r="K149" s="78"/>
      <c r="L149" s="72"/>
      <c r="M149" s="78" t="s">
        <v>324</v>
      </c>
      <c r="N149" s="78"/>
      <c r="O149" s="24"/>
      <c r="P149" s="68"/>
      <c r="Q149" s="68"/>
      <c r="R149" s="69"/>
      <c r="S149" s="69"/>
    </row>
    <row r="150" spans="3:19" ht="12.75" x14ac:dyDescent="0.2">
      <c r="E150" s="73" t="s">
        <v>325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68"/>
      <c r="Q150" s="68"/>
      <c r="R150" s="69"/>
      <c r="S150" s="69"/>
    </row>
    <row r="151" spans="3:19" ht="12.75" x14ac:dyDescent="0.2">
      <c r="E151" s="73" t="s">
        <v>326</v>
      </c>
      <c r="F151" s="79" t="str">
        <f>IF([1]Титульный!G46="","",[1]Титульный!G46)</f>
        <v>(495) 637 3220</v>
      </c>
      <c r="G151" s="79"/>
      <c r="H151" s="79"/>
      <c r="I151" s="24"/>
      <c r="J151" s="73" t="s">
        <v>327</v>
      </c>
      <c r="K151" s="76"/>
      <c r="L151" s="24"/>
      <c r="M151" s="24"/>
      <c r="N151" s="24"/>
      <c r="O151" s="24"/>
      <c r="P151" s="68"/>
      <c r="Q151" s="68"/>
      <c r="R151" s="69"/>
      <c r="S151" s="69"/>
    </row>
    <row r="152" spans="3:19" ht="12.75" x14ac:dyDescent="0.2">
      <c r="E152" s="24" t="s">
        <v>328</v>
      </c>
      <c r="F152" s="80" t="s">
        <v>329</v>
      </c>
      <c r="G152" s="80"/>
      <c r="H152" s="80"/>
      <c r="I152" s="24"/>
      <c r="J152" s="75" t="s">
        <v>330</v>
      </c>
      <c r="K152" s="75"/>
      <c r="L152" s="24"/>
      <c r="M152" s="24"/>
      <c r="N152" s="24"/>
      <c r="O152" s="24"/>
      <c r="P152" s="68"/>
      <c r="Q152" s="68"/>
      <c r="R152" s="69"/>
      <c r="S152" s="69"/>
    </row>
    <row r="153" spans="3:19" x14ac:dyDescent="0.25"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9"/>
      <c r="S153" s="69"/>
    </row>
    <row r="154" spans="3:19" x14ac:dyDescent="0.25"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9"/>
      <c r="S154" s="69"/>
    </row>
    <row r="155" spans="3:19" x14ac:dyDescent="0.25"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9"/>
      <c r="S155" s="69"/>
    </row>
    <row r="156" spans="3:19" x14ac:dyDescent="0.25"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9"/>
      <c r="S156" s="69"/>
    </row>
    <row r="157" spans="3:19" x14ac:dyDescent="0.25"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9"/>
      <c r="S157" s="69"/>
    </row>
    <row r="158" spans="3:19" x14ac:dyDescent="0.25"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9"/>
      <c r="S158" s="69"/>
    </row>
    <row r="159" spans="3:19" x14ac:dyDescent="0.25"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  <c r="S159" s="69"/>
    </row>
    <row r="160" spans="3:19" x14ac:dyDescent="0.25"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9"/>
      <c r="S160" s="69"/>
    </row>
    <row r="161" spans="5:19" x14ac:dyDescent="0.25"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9"/>
      <c r="S161" s="69"/>
    </row>
    <row r="162" spans="5:19" x14ac:dyDescent="0.25"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9"/>
      <c r="S162" s="69"/>
    </row>
    <row r="163" spans="5:19" x14ac:dyDescent="0.25"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9"/>
      <c r="S163" s="69"/>
    </row>
    <row r="164" spans="5:19" x14ac:dyDescent="0.25"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9"/>
      <c r="S164" s="69"/>
    </row>
    <row r="165" spans="5:19" x14ac:dyDescent="0.25"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9"/>
      <c r="S165" s="69"/>
    </row>
    <row r="166" spans="5:19" x14ac:dyDescent="0.25"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9"/>
      <c r="S166" s="69"/>
    </row>
    <row r="167" spans="5:19" x14ac:dyDescent="0.25"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9"/>
      <c r="S167" s="69"/>
    </row>
    <row r="168" spans="5:19" x14ac:dyDescent="0.25"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9"/>
      <c r="S168" s="69"/>
    </row>
    <row r="169" spans="5:19" x14ac:dyDescent="0.25"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9"/>
      <c r="S169" s="69"/>
    </row>
    <row r="170" spans="5:19" x14ac:dyDescent="0.25"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9"/>
      <c r="S170" s="69"/>
    </row>
    <row r="171" spans="5:19" x14ac:dyDescent="0.25"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9"/>
      <c r="S171" s="69"/>
    </row>
    <row r="172" spans="5:19" x14ac:dyDescent="0.25"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9"/>
      <c r="S172" s="69"/>
    </row>
    <row r="173" spans="5:19" x14ac:dyDescent="0.25"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9"/>
      <c r="S173" s="69"/>
    </row>
    <row r="174" spans="5:19" x14ac:dyDescent="0.25"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9"/>
      <c r="S174" s="69"/>
    </row>
    <row r="175" spans="5:19" x14ac:dyDescent="0.25"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9"/>
      <c r="S175" s="69"/>
    </row>
    <row r="176" spans="5:19" x14ac:dyDescent="0.25"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9"/>
      <c r="S176" s="69"/>
    </row>
    <row r="177" spans="5:19" x14ac:dyDescent="0.25"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9"/>
      <c r="S177" s="69"/>
    </row>
    <row r="178" spans="5:19" x14ac:dyDescent="0.25"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</row>
    <row r="179" spans="5:19" x14ac:dyDescent="0.25"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5:19" x14ac:dyDescent="0.25"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5:19" x14ac:dyDescent="0.25"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</sheetData>
  <mergeCells count="18">
    <mergeCell ref="F148:G148"/>
    <mergeCell ref="I148:K148"/>
    <mergeCell ref="D8:E8"/>
    <mergeCell ref="D11:D12"/>
    <mergeCell ref="E11:E12"/>
    <mergeCell ref="F11:F12"/>
    <mergeCell ref="G11:G12"/>
    <mergeCell ref="H11:K11"/>
    <mergeCell ref="D14:K14"/>
    <mergeCell ref="D51:K51"/>
    <mergeCell ref="D88:K88"/>
    <mergeCell ref="D92:K92"/>
    <mergeCell ref="D125:K125"/>
    <mergeCell ref="F149:G149"/>
    <mergeCell ref="I149:K149"/>
    <mergeCell ref="M149:N149"/>
    <mergeCell ref="F151:H151"/>
    <mergeCell ref="F152:H152"/>
  </mergeCells>
  <dataValidations count="2">
    <dataValidation allowBlank="1" showInputMessage="1" promptTitle="Ввод" prompt="Для выбора организации необходимо два раза нажать левую клавишу мыши!" sqref="E25 E62"/>
    <dataValidation type="decimal" allowBlank="1" showErrorMessage="1" errorTitle="Ошибка" error="Допускается ввод только действительных чисел!" sqref="G60:K62 G89:K91 G93:K124 G52:K55 G27:K40 G126:K146 G20:K21 G23:K25 G64:K77 G15:K18 G42:K50 G57:K58 G79:K87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Y181"/>
  <sheetViews>
    <sheetView view="pageBreakPreview" topLeftCell="C7" zoomScaleNormal="100" zoomScaleSheetLayoutView="100" workbookViewId="0">
      <selection activeCell="K8" sqref="K8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idden="1" x14ac:dyDescent="0.25">
      <c r="S1" s="2"/>
      <c r="T1" s="2"/>
      <c r="U1" s="2"/>
      <c r="V1" s="2"/>
      <c r="Y1" s="2"/>
      <c r="AN1" s="2"/>
      <c r="AO1" s="2"/>
      <c r="AP1" s="2"/>
      <c r="BC1" s="2"/>
      <c r="BF1" s="2"/>
      <c r="BI1" s="2"/>
      <c r="BJ1" s="2"/>
      <c r="BX1" s="2"/>
      <c r="BY1" s="2"/>
    </row>
    <row r="2" spans="1:77" hidden="1" x14ac:dyDescent="0.25"/>
    <row r="3" spans="1:77" hidden="1" x14ac:dyDescent="0.25"/>
    <row r="4" spans="1:77" hidden="1" x14ac:dyDescent="0.2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idden="1" x14ac:dyDescent="0.2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idden="1" x14ac:dyDescent="0.25">
      <c r="A6" s="5"/>
    </row>
    <row r="7" spans="1:77" ht="12" customHeight="1" x14ac:dyDescent="0.25">
      <c r="A7" s="5"/>
      <c r="D7" s="6"/>
      <c r="E7" s="6"/>
      <c r="F7" s="6"/>
      <c r="G7" s="6"/>
      <c r="H7" s="6"/>
      <c r="I7" s="6"/>
      <c r="J7" s="6"/>
      <c r="K7" s="7" t="s">
        <v>332</v>
      </c>
      <c r="Q7" s="8"/>
    </row>
    <row r="8" spans="1:77" ht="22.5" customHeight="1" x14ac:dyDescent="0.25">
      <c r="A8" s="5"/>
      <c r="D8" s="81" t="s">
        <v>11</v>
      </c>
      <c r="E8" s="8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77" x14ac:dyDescent="0.25">
      <c r="A9" s="5"/>
      <c r="D9" s="10" t="str">
        <f>IF(org="","Не определено",org)</f>
        <v>ЗАО "Коттон Вэй"</v>
      </c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77" ht="12" customHeight="1" x14ac:dyDescent="0.25">
      <c r="D10" s="11"/>
      <c r="E10" s="11"/>
      <c r="F10" s="6"/>
      <c r="G10" s="6"/>
      <c r="H10" s="6"/>
      <c r="I10" s="6"/>
      <c r="K10" s="12" t="s">
        <v>12</v>
      </c>
    </row>
    <row r="11" spans="1:77" ht="15" customHeight="1" x14ac:dyDescent="0.25">
      <c r="C11" s="6"/>
      <c r="D11" s="82" t="s">
        <v>13</v>
      </c>
      <c r="E11" s="84" t="s">
        <v>14</v>
      </c>
      <c r="F11" s="84" t="s">
        <v>15</v>
      </c>
      <c r="G11" s="84" t="s">
        <v>16</v>
      </c>
      <c r="H11" s="84" t="s">
        <v>17</v>
      </c>
      <c r="I11" s="84"/>
      <c r="J11" s="84"/>
      <c r="K11" s="86"/>
      <c r="L11" s="13"/>
    </row>
    <row r="12" spans="1:77" ht="15" customHeight="1" x14ac:dyDescent="0.25">
      <c r="C12" s="6"/>
      <c r="D12" s="83"/>
      <c r="E12" s="85"/>
      <c r="F12" s="85"/>
      <c r="G12" s="85"/>
      <c r="H12" s="14" t="s">
        <v>18</v>
      </c>
      <c r="I12" s="14" t="s">
        <v>19</v>
      </c>
      <c r="J12" s="14" t="s">
        <v>20</v>
      </c>
      <c r="K12" s="15" t="s">
        <v>21</v>
      </c>
      <c r="L12" s="13"/>
    </row>
    <row r="13" spans="1:77" ht="12" customHeight="1" x14ac:dyDescent="0.25">
      <c r="D13" s="16">
        <v>0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</row>
    <row r="14" spans="1:77" s="17" customFormat="1" ht="15" customHeight="1" x14ac:dyDescent="0.25">
      <c r="C14" s="18"/>
      <c r="D14" s="87" t="s">
        <v>22</v>
      </c>
      <c r="E14" s="88"/>
      <c r="F14" s="88"/>
      <c r="G14" s="88"/>
      <c r="H14" s="88"/>
      <c r="I14" s="88"/>
      <c r="J14" s="88"/>
      <c r="K14" s="89"/>
      <c r="L14" s="19"/>
    </row>
    <row r="15" spans="1:77" s="17" customFormat="1" ht="15" customHeight="1" x14ac:dyDescent="0.2">
      <c r="C15" s="18"/>
      <c r="D15" s="20" t="s">
        <v>23</v>
      </c>
      <c r="E15" s="21" t="s">
        <v>24</v>
      </c>
      <c r="F15" s="22">
        <v>10</v>
      </c>
      <c r="G15" s="23">
        <f>SUM(H15:K15)</f>
        <v>2424.3090000000002</v>
      </c>
      <c r="H15" s="23">
        <f>H16+H17+H20+H23</f>
        <v>1859.338</v>
      </c>
      <c r="I15" s="23">
        <f>I16+I17+I20+I23</f>
        <v>0</v>
      </c>
      <c r="J15" s="23">
        <f>J16+J17+J20+J23</f>
        <v>564.971</v>
      </c>
      <c r="K15" s="23">
        <f>K16+K17+K20+K23</f>
        <v>0</v>
      </c>
      <c r="L15" s="19"/>
      <c r="M15" s="24"/>
      <c r="P15" s="25">
        <v>10</v>
      </c>
    </row>
    <row r="16" spans="1:77" s="17" customFormat="1" ht="15" customHeight="1" x14ac:dyDescent="0.2">
      <c r="C16" s="18"/>
      <c r="D16" s="20" t="s">
        <v>25</v>
      </c>
      <c r="E16" s="26" t="s">
        <v>26</v>
      </c>
      <c r="F16" s="22">
        <v>20</v>
      </c>
      <c r="G16" s="23">
        <f t="shared" ref="G16:G132" si="0">SUM(H16:K16)</f>
        <v>0</v>
      </c>
      <c r="H16" s="27"/>
      <c r="I16" s="27"/>
      <c r="J16" s="27"/>
      <c r="K16" s="27"/>
      <c r="L16" s="19"/>
      <c r="M16" s="24"/>
      <c r="P16" s="25">
        <v>20</v>
      </c>
    </row>
    <row r="17" spans="3:16" s="17" customFormat="1" ht="12.75" x14ac:dyDescent="0.2">
      <c r="C17" s="18"/>
      <c r="D17" s="20" t="s">
        <v>27</v>
      </c>
      <c r="E17" s="26" t="s">
        <v>28</v>
      </c>
      <c r="F17" s="22">
        <v>30</v>
      </c>
      <c r="G17" s="23">
        <f t="shared" si="0"/>
        <v>0</v>
      </c>
      <c r="H17" s="23">
        <f>SUM(H18:H19)</f>
        <v>0</v>
      </c>
      <c r="I17" s="23">
        <f>SUM(I18:I19)</f>
        <v>0</v>
      </c>
      <c r="J17" s="23">
        <f>SUM(J18:J19)</f>
        <v>0</v>
      </c>
      <c r="K17" s="23">
        <f>SUM(K18:K19)</f>
        <v>0</v>
      </c>
      <c r="L17" s="19"/>
      <c r="M17" s="24"/>
      <c r="P17" s="25">
        <v>30</v>
      </c>
    </row>
    <row r="18" spans="3:16" s="17" customFormat="1" ht="12.75" x14ac:dyDescent="0.2">
      <c r="C18" s="18"/>
      <c r="D18" s="28" t="s">
        <v>29</v>
      </c>
      <c r="E18" s="29"/>
      <c r="F18" s="30" t="s">
        <v>30</v>
      </c>
      <c r="G18" s="31"/>
      <c r="H18" s="31"/>
      <c r="I18" s="31"/>
      <c r="J18" s="31"/>
      <c r="K18" s="31"/>
      <c r="L18" s="19"/>
      <c r="M18" s="24"/>
      <c r="P18" s="25"/>
    </row>
    <row r="19" spans="3:16" s="17" customFormat="1" ht="12.75" x14ac:dyDescent="0.2">
      <c r="C19" s="18"/>
      <c r="D19" s="32"/>
      <c r="E19" s="33" t="s">
        <v>31</v>
      </c>
      <c r="F19" s="34"/>
      <c r="G19" s="34"/>
      <c r="H19" s="34"/>
      <c r="I19" s="34"/>
      <c r="J19" s="34"/>
      <c r="K19" s="35"/>
      <c r="L19" s="19"/>
      <c r="M19" s="24"/>
      <c r="P19" s="36"/>
    </row>
    <row r="20" spans="3:16" s="17" customFormat="1" ht="12.75" x14ac:dyDescent="0.2">
      <c r="C20" s="18"/>
      <c r="D20" s="20" t="s">
        <v>32</v>
      </c>
      <c r="E20" s="26" t="s">
        <v>33</v>
      </c>
      <c r="F20" s="22" t="s">
        <v>34</v>
      </c>
      <c r="G20" s="23">
        <f t="shared" si="0"/>
        <v>0</v>
      </c>
      <c r="H20" s="23">
        <f>SUM(H21:H22)</f>
        <v>0</v>
      </c>
      <c r="I20" s="23">
        <f>SUM(I21:I22)</f>
        <v>0</v>
      </c>
      <c r="J20" s="23">
        <f>SUM(J21:J22)</f>
        <v>0</v>
      </c>
      <c r="K20" s="23">
        <f>SUM(K21:K22)</f>
        <v>0</v>
      </c>
      <c r="L20" s="19"/>
      <c r="M20" s="24"/>
      <c r="P20" s="36"/>
    </row>
    <row r="21" spans="3:16" s="17" customFormat="1" ht="12.75" x14ac:dyDescent="0.2">
      <c r="C21" s="18"/>
      <c r="D21" s="28" t="s">
        <v>35</v>
      </c>
      <c r="E21" s="29"/>
      <c r="F21" s="30" t="s">
        <v>34</v>
      </c>
      <c r="G21" s="31"/>
      <c r="H21" s="31"/>
      <c r="I21" s="31"/>
      <c r="J21" s="31"/>
      <c r="K21" s="31"/>
      <c r="L21" s="19"/>
      <c r="M21" s="24"/>
      <c r="P21" s="25"/>
    </row>
    <row r="22" spans="3:16" s="17" customFormat="1" ht="12.75" x14ac:dyDescent="0.2">
      <c r="C22" s="18"/>
      <c r="D22" s="32"/>
      <c r="E22" s="33" t="s">
        <v>31</v>
      </c>
      <c r="F22" s="34"/>
      <c r="G22" s="34"/>
      <c r="H22" s="34"/>
      <c r="I22" s="34"/>
      <c r="J22" s="34"/>
      <c r="K22" s="35"/>
      <c r="L22" s="19"/>
      <c r="M22" s="24"/>
      <c r="P22" s="36"/>
    </row>
    <row r="23" spans="3:16" s="17" customFormat="1" ht="12.75" x14ac:dyDescent="0.2">
      <c r="C23" s="18"/>
      <c r="D23" s="20" t="s">
        <v>36</v>
      </c>
      <c r="E23" s="26" t="s">
        <v>37</v>
      </c>
      <c r="F23" s="22" t="s">
        <v>38</v>
      </c>
      <c r="G23" s="23">
        <f t="shared" si="0"/>
        <v>2424.3090000000002</v>
      </c>
      <c r="H23" s="23">
        <f>SUM(H24:H26)</f>
        <v>1859.338</v>
      </c>
      <c r="I23" s="23">
        <f>SUM(I24:I26)</f>
        <v>0</v>
      </c>
      <c r="J23" s="23">
        <f>SUM(J24:J26)</f>
        <v>564.971</v>
      </c>
      <c r="K23" s="23">
        <f>SUM(K24:K26)</f>
        <v>0</v>
      </c>
      <c r="L23" s="19"/>
      <c r="M23" s="24"/>
      <c r="P23" s="25">
        <v>40</v>
      </c>
    </row>
    <row r="24" spans="3:16" s="17" customFormat="1" ht="12.75" x14ac:dyDescent="0.2">
      <c r="C24" s="18"/>
      <c r="D24" s="28" t="s">
        <v>39</v>
      </c>
      <c r="E24" s="29"/>
      <c r="F24" s="30" t="s">
        <v>38</v>
      </c>
      <c r="G24" s="31"/>
      <c r="H24" s="31"/>
      <c r="I24" s="31"/>
      <c r="J24" s="31"/>
      <c r="K24" s="31"/>
      <c r="L24" s="19"/>
      <c r="M24" s="24"/>
      <c r="P24" s="25"/>
    </row>
    <row r="25" spans="3:16" s="17" customFormat="1" ht="15" x14ac:dyDescent="0.25">
      <c r="C25" s="37" t="s">
        <v>40</v>
      </c>
      <c r="D25" s="38" t="s">
        <v>41</v>
      </c>
      <c r="E25" s="39" t="s">
        <v>42</v>
      </c>
      <c r="F25" s="40">
        <v>431</v>
      </c>
      <c r="G25" s="41">
        <f>SUM(H25:K25)</f>
        <v>2424.3090000000002</v>
      </c>
      <c r="H25" s="42">
        <v>1859.338</v>
      </c>
      <c r="I25" s="42">
        <v>0</v>
      </c>
      <c r="J25" s="42">
        <v>564.971</v>
      </c>
      <c r="K25" s="42">
        <v>0</v>
      </c>
      <c r="L25" s="19"/>
      <c r="M25" s="43" t="s">
        <v>43</v>
      </c>
      <c r="N25" s="44" t="s">
        <v>44</v>
      </c>
      <c r="O25" s="44" t="s">
        <v>45</v>
      </c>
    </row>
    <row r="26" spans="3:16" s="17" customFormat="1" ht="12.75" x14ac:dyDescent="0.2">
      <c r="C26" s="18"/>
      <c r="D26" s="32"/>
      <c r="E26" s="33" t="s">
        <v>31</v>
      </c>
      <c r="F26" s="34"/>
      <c r="G26" s="34"/>
      <c r="H26" s="34"/>
      <c r="I26" s="34"/>
      <c r="J26" s="34"/>
      <c r="K26" s="35"/>
      <c r="L26" s="19"/>
      <c r="M26" s="24"/>
      <c r="P26" s="25"/>
    </row>
    <row r="27" spans="3:16" s="17" customFormat="1" ht="12.75" x14ac:dyDescent="0.2">
      <c r="C27" s="18"/>
      <c r="D27" s="20" t="s">
        <v>46</v>
      </c>
      <c r="E27" s="21" t="s">
        <v>47</v>
      </c>
      <c r="F27" s="22" t="s">
        <v>48</v>
      </c>
      <c r="G27" s="23">
        <f t="shared" si="0"/>
        <v>3964.91</v>
      </c>
      <c r="H27" s="23">
        <f>H29+H30+H31</f>
        <v>0</v>
      </c>
      <c r="I27" s="23">
        <f>I28+I30+I31</f>
        <v>0</v>
      </c>
      <c r="J27" s="23">
        <f>J28+J29+J31</f>
        <v>1859.338</v>
      </c>
      <c r="K27" s="23">
        <f>K28+K29+K30</f>
        <v>2105.5720000000001</v>
      </c>
      <c r="L27" s="19"/>
      <c r="M27" s="24"/>
      <c r="P27" s="25">
        <v>50</v>
      </c>
    </row>
    <row r="28" spans="3:16" s="17" customFormat="1" ht="12.75" x14ac:dyDescent="0.2">
      <c r="C28" s="18"/>
      <c r="D28" s="20" t="s">
        <v>49</v>
      </c>
      <c r="E28" s="26" t="s">
        <v>18</v>
      </c>
      <c r="F28" s="22" t="s">
        <v>50</v>
      </c>
      <c r="G28" s="23">
        <f t="shared" si="0"/>
        <v>1859.338</v>
      </c>
      <c r="H28" s="45"/>
      <c r="I28" s="27"/>
      <c r="J28" s="27">
        <f>H25</f>
        <v>1859.338</v>
      </c>
      <c r="K28" s="27"/>
      <c r="L28" s="19"/>
      <c r="M28" s="24"/>
      <c r="P28" s="25">
        <v>60</v>
      </c>
    </row>
    <row r="29" spans="3:16" s="17" customFormat="1" ht="12.75" x14ac:dyDescent="0.2">
      <c r="C29" s="18"/>
      <c r="D29" s="20" t="s">
        <v>51</v>
      </c>
      <c r="E29" s="26" t="s">
        <v>19</v>
      </c>
      <c r="F29" s="22" t="s">
        <v>52</v>
      </c>
      <c r="G29" s="23">
        <f t="shared" si="0"/>
        <v>0</v>
      </c>
      <c r="H29" s="27"/>
      <c r="I29" s="45"/>
      <c r="J29" s="27"/>
      <c r="K29" s="27"/>
      <c r="L29" s="19"/>
      <c r="M29" s="24"/>
      <c r="P29" s="25">
        <v>70</v>
      </c>
    </row>
    <row r="30" spans="3:16" s="17" customFormat="1" ht="12.75" x14ac:dyDescent="0.2">
      <c r="C30" s="18"/>
      <c r="D30" s="20" t="s">
        <v>53</v>
      </c>
      <c r="E30" s="26" t="s">
        <v>20</v>
      </c>
      <c r="F30" s="22" t="s">
        <v>54</v>
      </c>
      <c r="G30" s="23">
        <f t="shared" si="0"/>
        <v>2105.5720000000001</v>
      </c>
      <c r="H30" s="27"/>
      <c r="I30" s="27"/>
      <c r="J30" s="45"/>
      <c r="K30" s="27">
        <f>H25+J25-J36-J46</f>
        <v>2105.5720000000001</v>
      </c>
      <c r="L30" s="19"/>
      <c r="M30" s="24"/>
      <c r="P30" s="25">
        <v>80</v>
      </c>
    </row>
    <row r="31" spans="3:16" s="17" customFormat="1" ht="12.75" x14ac:dyDescent="0.2">
      <c r="C31" s="18"/>
      <c r="D31" s="20" t="s">
        <v>55</v>
      </c>
      <c r="E31" s="26" t="s">
        <v>56</v>
      </c>
      <c r="F31" s="22" t="s">
        <v>57</v>
      </c>
      <c r="G31" s="23">
        <f t="shared" si="0"/>
        <v>0</v>
      </c>
      <c r="H31" s="27"/>
      <c r="I31" s="27"/>
      <c r="J31" s="27"/>
      <c r="K31" s="45"/>
      <c r="L31" s="19"/>
      <c r="M31" s="24"/>
      <c r="P31" s="25">
        <v>90</v>
      </c>
    </row>
    <row r="32" spans="3:16" s="17" customFormat="1" ht="12.75" x14ac:dyDescent="0.2">
      <c r="C32" s="18"/>
      <c r="D32" s="20" t="s">
        <v>58</v>
      </c>
      <c r="E32" s="46" t="s">
        <v>59</v>
      </c>
      <c r="F32" s="22" t="s">
        <v>60</v>
      </c>
      <c r="G32" s="23">
        <f t="shared" si="0"/>
        <v>0</v>
      </c>
      <c r="H32" s="27"/>
      <c r="I32" s="27"/>
      <c r="J32" s="27"/>
      <c r="K32" s="27"/>
      <c r="L32" s="19"/>
      <c r="M32" s="24"/>
      <c r="P32" s="25"/>
    </row>
    <row r="33" spans="3:16" s="17" customFormat="1" ht="12.75" x14ac:dyDescent="0.2">
      <c r="C33" s="18"/>
      <c r="D33" s="20" t="s">
        <v>61</v>
      </c>
      <c r="E33" s="21" t="s">
        <v>62</v>
      </c>
      <c r="F33" s="47" t="s">
        <v>63</v>
      </c>
      <c r="G33" s="23">
        <f t="shared" si="0"/>
        <v>2427.1869999999999</v>
      </c>
      <c r="H33" s="23">
        <f>H34+H36+H39+H42</f>
        <v>0</v>
      </c>
      <c r="I33" s="23">
        <f>I34+I36+I39+I42</f>
        <v>0</v>
      </c>
      <c r="J33" s="23">
        <f>J34+J36+J39+J42</f>
        <v>318.73700000000002</v>
      </c>
      <c r="K33" s="23">
        <f>K34+K36+K39+K42</f>
        <v>2108.4499999999998</v>
      </c>
      <c r="L33" s="19"/>
      <c r="M33" s="24"/>
      <c r="P33" s="25">
        <v>100</v>
      </c>
    </row>
    <row r="34" spans="3:16" s="17" customFormat="1" ht="22.5" x14ac:dyDescent="0.2">
      <c r="C34" s="18"/>
      <c r="D34" s="20" t="s">
        <v>64</v>
      </c>
      <c r="E34" s="26" t="s">
        <v>65</v>
      </c>
      <c r="F34" s="22" t="s">
        <v>66</v>
      </c>
      <c r="G34" s="23">
        <f t="shared" si="0"/>
        <v>0</v>
      </c>
      <c r="H34" s="27"/>
      <c r="I34" s="27"/>
      <c r="J34" s="27"/>
      <c r="K34" s="27"/>
      <c r="L34" s="19"/>
      <c r="M34" s="24"/>
      <c r="P34" s="25"/>
    </row>
    <row r="35" spans="3:16" s="17" customFormat="1" ht="12.75" x14ac:dyDescent="0.2">
      <c r="C35" s="18"/>
      <c r="D35" s="20" t="s">
        <v>67</v>
      </c>
      <c r="E35" s="48" t="s">
        <v>68</v>
      </c>
      <c r="F35" s="22" t="s">
        <v>69</v>
      </c>
      <c r="G35" s="23">
        <f t="shared" si="0"/>
        <v>0</v>
      </c>
      <c r="H35" s="27"/>
      <c r="I35" s="27"/>
      <c r="J35" s="27"/>
      <c r="K35" s="27"/>
      <c r="L35" s="19"/>
      <c r="M35" s="24"/>
      <c r="P35" s="25"/>
    </row>
    <row r="36" spans="3:16" s="17" customFormat="1" ht="12.75" x14ac:dyDescent="0.2">
      <c r="C36" s="18"/>
      <c r="D36" s="20" t="s">
        <v>70</v>
      </c>
      <c r="E36" s="26" t="s">
        <v>71</v>
      </c>
      <c r="F36" s="22" t="s">
        <v>72</v>
      </c>
      <c r="G36" s="23">
        <f t="shared" si="0"/>
        <v>2427.1869999999999</v>
      </c>
      <c r="H36" s="27">
        <v>0</v>
      </c>
      <c r="I36" s="27">
        <v>0</v>
      </c>
      <c r="J36" s="27">
        <v>318.73700000000002</v>
      </c>
      <c r="K36" s="27">
        <v>2108.4499999999998</v>
      </c>
      <c r="L36" s="19"/>
      <c r="M36" s="24"/>
      <c r="P36" s="25"/>
    </row>
    <row r="37" spans="3:16" s="17" customFormat="1" ht="12.75" x14ac:dyDescent="0.2">
      <c r="C37" s="18"/>
      <c r="D37" s="20" t="s">
        <v>73</v>
      </c>
      <c r="E37" s="48" t="s">
        <v>74</v>
      </c>
      <c r="F37" s="22" t="s">
        <v>75</v>
      </c>
      <c r="G37" s="23">
        <f t="shared" si="0"/>
        <v>0</v>
      </c>
      <c r="H37" s="27"/>
      <c r="I37" s="27"/>
      <c r="J37" s="27"/>
      <c r="K37" s="27"/>
      <c r="L37" s="19"/>
      <c r="M37" s="24"/>
      <c r="P37" s="25"/>
    </row>
    <row r="38" spans="3:16" s="17" customFormat="1" ht="12.75" x14ac:dyDescent="0.2">
      <c r="C38" s="18"/>
      <c r="D38" s="20" t="s">
        <v>76</v>
      </c>
      <c r="E38" s="49" t="s">
        <v>68</v>
      </c>
      <c r="F38" s="22" t="s">
        <v>77</v>
      </c>
      <c r="G38" s="23">
        <f t="shared" si="0"/>
        <v>0</v>
      </c>
      <c r="H38" s="27"/>
      <c r="I38" s="27"/>
      <c r="J38" s="27"/>
      <c r="K38" s="27"/>
      <c r="L38" s="19"/>
      <c r="M38" s="24"/>
      <c r="P38" s="25"/>
    </row>
    <row r="39" spans="3:16" s="17" customFormat="1" ht="12.75" x14ac:dyDescent="0.2">
      <c r="C39" s="18"/>
      <c r="D39" s="20" t="s">
        <v>78</v>
      </c>
      <c r="E39" s="26" t="s">
        <v>79</v>
      </c>
      <c r="F39" s="22" t="s">
        <v>80</v>
      </c>
      <c r="G39" s="23">
        <f t="shared" si="0"/>
        <v>0</v>
      </c>
      <c r="H39" s="23">
        <f>SUM(H40:H41)</f>
        <v>0</v>
      </c>
      <c r="I39" s="23">
        <f>SUM(I40:I41)</f>
        <v>0</v>
      </c>
      <c r="J39" s="23">
        <f>SUM(J40:J41)</f>
        <v>0</v>
      </c>
      <c r="K39" s="23">
        <f>SUM(K40:K41)</f>
        <v>0</v>
      </c>
      <c r="L39" s="19"/>
      <c r="M39" s="24"/>
      <c r="P39" s="25"/>
    </row>
    <row r="40" spans="3:16" s="17" customFormat="1" ht="12.75" x14ac:dyDescent="0.2">
      <c r="C40" s="18"/>
      <c r="D40" s="28" t="s">
        <v>81</v>
      </c>
      <c r="E40" s="29"/>
      <c r="F40" s="30" t="s">
        <v>80</v>
      </c>
      <c r="G40" s="31"/>
      <c r="H40" s="31"/>
      <c r="I40" s="31"/>
      <c r="J40" s="31"/>
      <c r="K40" s="31"/>
      <c r="L40" s="19"/>
      <c r="M40" s="24"/>
      <c r="P40" s="25"/>
    </row>
    <row r="41" spans="3:16" s="17" customFormat="1" ht="12.75" x14ac:dyDescent="0.2">
      <c r="C41" s="18"/>
      <c r="D41" s="50"/>
      <c r="E41" s="33" t="s">
        <v>31</v>
      </c>
      <c r="F41" s="34"/>
      <c r="G41" s="34"/>
      <c r="H41" s="34"/>
      <c r="I41" s="34"/>
      <c r="J41" s="34"/>
      <c r="K41" s="35"/>
      <c r="L41" s="19"/>
      <c r="M41" s="24"/>
      <c r="P41" s="25"/>
    </row>
    <row r="42" spans="3:16" s="17" customFormat="1" ht="12.75" x14ac:dyDescent="0.2">
      <c r="C42" s="18"/>
      <c r="D42" s="20" t="s">
        <v>82</v>
      </c>
      <c r="E42" s="51" t="s">
        <v>83</v>
      </c>
      <c r="F42" s="22" t="s">
        <v>84</v>
      </c>
      <c r="G42" s="23">
        <f t="shared" si="0"/>
        <v>0</v>
      </c>
      <c r="H42" s="27"/>
      <c r="I42" s="27"/>
      <c r="J42" s="27"/>
      <c r="K42" s="27"/>
      <c r="L42" s="19"/>
      <c r="M42" s="24"/>
      <c r="P42" s="25">
        <v>120</v>
      </c>
    </row>
    <row r="43" spans="3:16" s="17" customFormat="1" ht="12.75" x14ac:dyDescent="0.2">
      <c r="C43" s="18"/>
      <c r="D43" s="20" t="s">
        <v>85</v>
      </c>
      <c r="E43" s="21" t="s">
        <v>86</v>
      </c>
      <c r="F43" s="22" t="s">
        <v>87</v>
      </c>
      <c r="G43" s="23">
        <f t="shared" si="0"/>
        <v>3964.91</v>
      </c>
      <c r="H43" s="27">
        <f>J28</f>
        <v>1859.338</v>
      </c>
      <c r="I43" s="27"/>
      <c r="J43" s="27">
        <f>K30</f>
        <v>2105.5720000000001</v>
      </c>
      <c r="K43" s="27"/>
      <c r="L43" s="19"/>
      <c r="M43" s="24"/>
      <c r="P43" s="25">
        <v>150</v>
      </c>
    </row>
    <row r="44" spans="3:16" s="17" customFormat="1" ht="12.75" x14ac:dyDescent="0.2">
      <c r="C44" s="18"/>
      <c r="D44" s="20" t="s">
        <v>88</v>
      </c>
      <c r="E44" s="21" t="s">
        <v>89</v>
      </c>
      <c r="F44" s="22" t="s">
        <v>90</v>
      </c>
      <c r="G44" s="23">
        <f t="shared" si="0"/>
        <v>0</v>
      </c>
      <c r="H44" s="27"/>
      <c r="I44" s="27"/>
      <c r="J44" s="27"/>
      <c r="K44" s="27"/>
      <c r="L44" s="19"/>
      <c r="M44" s="24"/>
      <c r="P44" s="25">
        <v>160</v>
      </c>
    </row>
    <row r="45" spans="3:16" s="17" customFormat="1" ht="12.75" x14ac:dyDescent="0.2">
      <c r="C45" s="18"/>
      <c r="D45" s="20" t="s">
        <v>91</v>
      </c>
      <c r="E45" s="21" t="s">
        <v>92</v>
      </c>
      <c r="F45" s="22" t="s">
        <v>93</v>
      </c>
      <c r="G45" s="23">
        <f t="shared" si="0"/>
        <v>0</v>
      </c>
      <c r="H45" s="27"/>
      <c r="I45" s="27"/>
      <c r="J45" s="27"/>
      <c r="K45" s="27"/>
      <c r="L45" s="19"/>
      <c r="M45" s="24"/>
      <c r="P45" s="25">
        <v>180</v>
      </c>
    </row>
    <row r="46" spans="3:16" s="17" customFormat="1" ht="12.75" x14ac:dyDescent="0.2">
      <c r="C46" s="18"/>
      <c r="D46" s="20" t="s">
        <v>94</v>
      </c>
      <c r="E46" s="21" t="s">
        <v>95</v>
      </c>
      <c r="F46" s="22" t="s">
        <v>96</v>
      </c>
      <c r="G46" s="23">
        <f t="shared" si="0"/>
        <v>-2.8779999999997017</v>
      </c>
      <c r="H46" s="27"/>
      <c r="I46" s="27"/>
      <c r="J46" s="27"/>
      <c r="K46" s="27">
        <f>G25-G36</f>
        <v>-2.8779999999997017</v>
      </c>
      <c r="L46" s="19"/>
      <c r="M46" s="24"/>
      <c r="P46" s="25">
        <v>190</v>
      </c>
    </row>
    <row r="47" spans="3:16" s="17" customFormat="1" ht="12.75" x14ac:dyDescent="0.2">
      <c r="C47" s="18"/>
      <c r="D47" s="20" t="s">
        <v>97</v>
      </c>
      <c r="E47" s="26" t="s">
        <v>98</v>
      </c>
      <c r="F47" s="22" t="s">
        <v>99</v>
      </c>
      <c r="G47" s="23">
        <f t="shared" si="0"/>
        <v>0</v>
      </c>
      <c r="H47" s="27"/>
      <c r="I47" s="27"/>
      <c r="J47" s="27">
        <v>0</v>
      </c>
      <c r="K47" s="27">
        <v>0</v>
      </c>
      <c r="L47" s="19"/>
      <c r="M47" s="24"/>
      <c r="P47" s="25">
        <v>200</v>
      </c>
    </row>
    <row r="48" spans="3:16" s="17" customFormat="1" ht="12.75" x14ac:dyDescent="0.2">
      <c r="C48" s="18"/>
      <c r="D48" s="20" t="s">
        <v>100</v>
      </c>
      <c r="E48" s="21" t="s">
        <v>101</v>
      </c>
      <c r="F48" s="22" t="s">
        <v>102</v>
      </c>
      <c r="G48" s="23">
        <f t="shared" si="0"/>
        <v>114.1</v>
      </c>
      <c r="H48" s="27"/>
      <c r="I48" s="27"/>
      <c r="J48" s="27"/>
      <c r="K48" s="27">
        <v>114.1</v>
      </c>
      <c r="L48" s="19"/>
      <c r="M48" s="24"/>
      <c r="P48" s="36"/>
    </row>
    <row r="49" spans="3:16" s="17" customFormat="1" ht="22.5" x14ac:dyDescent="0.2">
      <c r="C49" s="18"/>
      <c r="D49" s="20" t="s">
        <v>103</v>
      </c>
      <c r="E49" s="46" t="s">
        <v>104</v>
      </c>
      <c r="F49" s="22" t="s">
        <v>105</v>
      </c>
      <c r="G49" s="23">
        <f t="shared" si="0"/>
        <v>-116.9779999999997</v>
      </c>
      <c r="H49" s="23">
        <f>H46-H48</f>
        <v>0</v>
      </c>
      <c r="I49" s="23">
        <f>I46-I48</f>
        <v>0</v>
      </c>
      <c r="J49" s="23">
        <f>J46-J48</f>
        <v>0</v>
      </c>
      <c r="K49" s="23">
        <f>K46-K48</f>
        <v>-116.9779999999997</v>
      </c>
      <c r="L49" s="19"/>
      <c r="M49" s="24"/>
      <c r="P49" s="36"/>
    </row>
    <row r="50" spans="3:16" s="17" customFormat="1" ht="12.75" x14ac:dyDescent="0.2">
      <c r="C50" s="18"/>
      <c r="D50" s="20" t="s">
        <v>106</v>
      </c>
      <c r="E50" s="21" t="s">
        <v>107</v>
      </c>
      <c r="F50" s="22" t="s">
        <v>108</v>
      </c>
      <c r="G50" s="23">
        <f t="shared" si="0"/>
        <v>0</v>
      </c>
      <c r="H50" s="23">
        <f>(H15+H27+H32)-(H33+H43+H44+H45+H46)</f>
        <v>0</v>
      </c>
      <c r="I50" s="23">
        <f>(I15+I27+I32)-(I33+I43+I44+I45+I46)</f>
        <v>0</v>
      </c>
      <c r="J50" s="23">
        <f>(J15+J27+J32)-(J33+J43+J44+J45+J46)</f>
        <v>0</v>
      </c>
      <c r="K50" s="23">
        <f>(K15+K27+K32)-(K33+K43+K44+K45+K46)</f>
        <v>0</v>
      </c>
      <c r="L50" s="19"/>
      <c r="M50" s="24"/>
      <c r="P50" s="25">
        <v>210</v>
      </c>
    </row>
    <row r="51" spans="3:16" s="17" customFormat="1" ht="12.75" x14ac:dyDescent="0.2">
      <c r="C51" s="18"/>
      <c r="D51" s="87" t="s">
        <v>109</v>
      </c>
      <c r="E51" s="88"/>
      <c r="F51" s="88"/>
      <c r="G51" s="88"/>
      <c r="H51" s="88"/>
      <c r="I51" s="88"/>
      <c r="J51" s="88"/>
      <c r="K51" s="89"/>
      <c r="L51" s="19"/>
      <c r="M51" s="24"/>
      <c r="P51" s="36"/>
    </row>
    <row r="52" spans="3:16" s="17" customFormat="1" ht="12.75" x14ac:dyDescent="0.2">
      <c r="C52" s="18"/>
      <c r="D52" s="20" t="s">
        <v>110</v>
      </c>
      <c r="E52" s="21" t="s">
        <v>24</v>
      </c>
      <c r="F52" s="22" t="s">
        <v>111</v>
      </c>
      <c r="G52" s="23">
        <f t="shared" si="0"/>
        <v>4.8079000000000001</v>
      </c>
      <c r="H52" s="23">
        <f>H53+H54+H57+H60</f>
        <v>1.153896</v>
      </c>
      <c r="I52" s="23">
        <f>I53+I54+I57+I60</f>
        <v>0</v>
      </c>
      <c r="J52" s="23">
        <f>J53+J54+J57+J60</f>
        <v>3.654004</v>
      </c>
      <c r="K52" s="23">
        <f>K53+K54+K57+K60</f>
        <v>0</v>
      </c>
      <c r="L52" s="19"/>
      <c r="M52" s="24"/>
      <c r="P52" s="25">
        <v>300</v>
      </c>
    </row>
    <row r="53" spans="3:16" s="17" customFormat="1" ht="12.75" x14ac:dyDescent="0.2">
      <c r="C53" s="18"/>
      <c r="D53" s="20" t="s">
        <v>112</v>
      </c>
      <c r="E53" s="26" t="s">
        <v>26</v>
      </c>
      <c r="F53" s="22" t="s">
        <v>113</v>
      </c>
      <c r="G53" s="23">
        <f t="shared" si="0"/>
        <v>0</v>
      </c>
      <c r="H53" s="27"/>
      <c r="I53" s="27"/>
      <c r="J53" s="27"/>
      <c r="K53" s="27"/>
      <c r="L53" s="19"/>
      <c r="M53" s="24"/>
      <c r="P53" s="25">
        <v>310</v>
      </c>
    </row>
    <row r="54" spans="3:16" s="17" customFormat="1" ht="12.75" x14ac:dyDescent="0.2">
      <c r="C54" s="18"/>
      <c r="D54" s="20" t="s">
        <v>114</v>
      </c>
      <c r="E54" s="26" t="s">
        <v>28</v>
      </c>
      <c r="F54" s="22" t="s">
        <v>115</v>
      </c>
      <c r="G54" s="23">
        <f t="shared" si="0"/>
        <v>0</v>
      </c>
      <c r="H54" s="23">
        <f>SUM(H55:H56)</f>
        <v>0</v>
      </c>
      <c r="I54" s="23">
        <f>SUM(I55:I56)</f>
        <v>0</v>
      </c>
      <c r="J54" s="23">
        <f>SUM(J55:J56)</f>
        <v>0</v>
      </c>
      <c r="K54" s="23">
        <f>SUM(K55:K56)</f>
        <v>0</v>
      </c>
      <c r="L54" s="19"/>
      <c r="M54" s="24"/>
      <c r="P54" s="25">
        <v>320</v>
      </c>
    </row>
    <row r="55" spans="3:16" s="17" customFormat="1" ht="12.75" x14ac:dyDescent="0.2">
      <c r="C55" s="18"/>
      <c r="D55" s="28" t="s">
        <v>116</v>
      </c>
      <c r="E55" s="29"/>
      <c r="F55" s="30" t="s">
        <v>115</v>
      </c>
      <c r="G55" s="31"/>
      <c r="H55" s="31"/>
      <c r="I55" s="31"/>
      <c r="J55" s="31"/>
      <c r="K55" s="31"/>
      <c r="L55" s="19"/>
      <c r="M55" s="24"/>
      <c r="P55" s="25"/>
    </row>
    <row r="56" spans="3:16" s="17" customFormat="1" ht="12.75" x14ac:dyDescent="0.2">
      <c r="C56" s="18"/>
      <c r="D56" s="32"/>
      <c r="E56" s="33" t="s">
        <v>31</v>
      </c>
      <c r="F56" s="34"/>
      <c r="G56" s="34"/>
      <c r="H56" s="34"/>
      <c r="I56" s="34"/>
      <c r="J56" s="34"/>
      <c r="K56" s="35"/>
      <c r="L56" s="19"/>
      <c r="M56" s="24"/>
      <c r="P56" s="25"/>
    </row>
    <row r="57" spans="3:16" s="17" customFormat="1" ht="12.75" x14ac:dyDescent="0.2">
      <c r="C57" s="18"/>
      <c r="D57" s="20" t="s">
        <v>117</v>
      </c>
      <c r="E57" s="26" t="s">
        <v>33</v>
      </c>
      <c r="F57" s="22" t="s">
        <v>118</v>
      </c>
      <c r="G57" s="23">
        <f t="shared" si="0"/>
        <v>0</v>
      </c>
      <c r="H57" s="23">
        <f>SUM(H58:H59)</f>
        <v>0</v>
      </c>
      <c r="I57" s="23">
        <f>SUM(I58:I59)</f>
        <v>0</v>
      </c>
      <c r="J57" s="23">
        <f>SUM(J58:J59)</f>
        <v>0</v>
      </c>
      <c r="K57" s="23">
        <f>SUM(K58:K59)</f>
        <v>0</v>
      </c>
      <c r="L57" s="19"/>
      <c r="M57" s="24"/>
      <c r="P57" s="25"/>
    </row>
    <row r="58" spans="3:16" s="17" customFormat="1" ht="12.75" x14ac:dyDescent="0.2">
      <c r="C58" s="18"/>
      <c r="D58" s="28" t="s">
        <v>119</v>
      </c>
      <c r="E58" s="29"/>
      <c r="F58" s="30" t="s">
        <v>118</v>
      </c>
      <c r="G58" s="31"/>
      <c r="H58" s="31"/>
      <c r="I58" s="31"/>
      <c r="J58" s="31"/>
      <c r="K58" s="31"/>
      <c r="L58" s="19"/>
      <c r="M58" s="24"/>
      <c r="P58" s="25"/>
    </row>
    <row r="59" spans="3:16" s="17" customFormat="1" ht="12.75" x14ac:dyDescent="0.2">
      <c r="C59" s="18"/>
      <c r="D59" s="32"/>
      <c r="E59" s="33" t="s">
        <v>31</v>
      </c>
      <c r="F59" s="34"/>
      <c r="G59" s="34"/>
      <c r="H59" s="34"/>
      <c r="I59" s="34"/>
      <c r="J59" s="34"/>
      <c r="K59" s="35"/>
      <c r="L59" s="19"/>
      <c r="M59" s="24"/>
      <c r="P59" s="25"/>
    </row>
    <row r="60" spans="3:16" s="17" customFormat="1" ht="12.75" x14ac:dyDescent="0.2">
      <c r="C60" s="18"/>
      <c r="D60" s="20" t="s">
        <v>120</v>
      </c>
      <c r="E60" s="26" t="s">
        <v>37</v>
      </c>
      <c r="F60" s="22" t="s">
        <v>121</v>
      </c>
      <c r="G60" s="23">
        <f t="shared" si="0"/>
        <v>4.8079000000000001</v>
      </c>
      <c r="H60" s="23">
        <f>SUM(H61:H63)</f>
        <v>1.153896</v>
      </c>
      <c r="I60" s="23">
        <f>SUM(I61:I63)</f>
        <v>0</v>
      </c>
      <c r="J60" s="23">
        <f>SUM(J61:J63)</f>
        <v>3.654004</v>
      </c>
      <c r="K60" s="23">
        <f>SUM(K61:K63)</f>
        <v>0</v>
      </c>
      <c r="L60" s="19"/>
      <c r="M60" s="24"/>
      <c r="P60" s="25">
        <v>330</v>
      </c>
    </row>
    <row r="61" spans="3:16" s="17" customFormat="1" ht="12.75" x14ac:dyDescent="0.2">
      <c r="C61" s="18"/>
      <c r="D61" s="28" t="s">
        <v>122</v>
      </c>
      <c r="E61" s="29"/>
      <c r="F61" s="30" t="s">
        <v>121</v>
      </c>
      <c r="G61" s="31"/>
      <c r="H61" s="31"/>
      <c r="I61" s="31"/>
      <c r="J61" s="31"/>
      <c r="K61" s="31"/>
      <c r="L61" s="19"/>
      <c r="M61" s="24"/>
      <c r="P61" s="25"/>
    </row>
    <row r="62" spans="3:16" s="17" customFormat="1" ht="15" x14ac:dyDescent="0.25">
      <c r="C62" s="37" t="s">
        <v>40</v>
      </c>
      <c r="D62" s="38" t="s">
        <v>123</v>
      </c>
      <c r="E62" s="39" t="s">
        <v>42</v>
      </c>
      <c r="F62" s="40">
        <v>1461</v>
      </c>
      <c r="G62" s="41">
        <f>SUM(H62:K62)</f>
        <v>4.8079000000000001</v>
      </c>
      <c r="H62" s="52">
        <f>4.8079*0.24</f>
        <v>1.153896</v>
      </c>
      <c r="I62" s="52">
        <v>0</v>
      </c>
      <c r="J62" s="52">
        <f>4.8079-H62</f>
        <v>3.654004</v>
      </c>
      <c r="K62" s="53">
        <v>0</v>
      </c>
      <c r="L62" s="19"/>
      <c r="M62" s="43" t="s">
        <v>43</v>
      </c>
      <c r="N62" s="44" t="s">
        <v>44</v>
      </c>
      <c r="O62" s="44" t="s">
        <v>45</v>
      </c>
    </row>
    <row r="63" spans="3:16" s="17" customFormat="1" ht="12.75" x14ac:dyDescent="0.2">
      <c r="C63" s="18"/>
      <c r="D63" s="32"/>
      <c r="E63" s="33" t="s">
        <v>31</v>
      </c>
      <c r="F63" s="34"/>
      <c r="G63" s="34"/>
      <c r="H63" s="34"/>
      <c r="I63" s="34"/>
      <c r="J63" s="34"/>
      <c r="K63" s="35"/>
      <c r="L63" s="19"/>
      <c r="M63" s="24"/>
      <c r="P63" s="25"/>
    </row>
    <row r="64" spans="3:16" s="17" customFormat="1" ht="12.75" x14ac:dyDescent="0.2">
      <c r="C64" s="18"/>
      <c r="D64" s="20" t="s">
        <v>124</v>
      </c>
      <c r="E64" s="21" t="s">
        <v>47</v>
      </c>
      <c r="F64" s="22" t="s">
        <v>125</v>
      </c>
      <c r="G64" s="23">
        <f t="shared" si="0"/>
        <v>4.8579879999999998</v>
      </c>
      <c r="H64" s="23">
        <f>H66+H67+H68</f>
        <v>0</v>
      </c>
      <c r="I64" s="23">
        <f>I65+I67+I68</f>
        <v>0</v>
      </c>
      <c r="J64" s="23">
        <f>J65+J66+J68</f>
        <v>1.153896</v>
      </c>
      <c r="K64" s="23">
        <f>K65+K66+K67</f>
        <v>3.7040919999999997</v>
      </c>
      <c r="L64" s="19"/>
      <c r="M64" s="24"/>
      <c r="P64" s="25">
        <v>340</v>
      </c>
    </row>
    <row r="65" spans="3:16" s="17" customFormat="1" ht="12.75" x14ac:dyDescent="0.2">
      <c r="C65" s="18"/>
      <c r="D65" s="20" t="s">
        <v>126</v>
      </c>
      <c r="E65" s="26" t="s">
        <v>18</v>
      </c>
      <c r="F65" s="22" t="s">
        <v>127</v>
      </c>
      <c r="G65" s="23">
        <f t="shared" si="0"/>
        <v>1.153896</v>
      </c>
      <c r="H65" s="45"/>
      <c r="I65" s="27"/>
      <c r="J65" s="27">
        <f>H62</f>
        <v>1.153896</v>
      </c>
      <c r="K65" s="27"/>
      <c r="L65" s="19"/>
      <c r="M65" s="24"/>
      <c r="P65" s="25">
        <v>350</v>
      </c>
    </row>
    <row r="66" spans="3:16" s="17" customFormat="1" ht="12.75" x14ac:dyDescent="0.2">
      <c r="C66" s="18"/>
      <c r="D66" s="20" t="s">
        <v>128</v>
      </c>
      <c r="E66" s="26" t="s">
        <v>19</v>
      </c>
      <c r="F66" s="22" t="s">
        <v>129</v>
      </c>
      <c r="G66" s="23">
        <f t="shared" si="0"/>
        <v>0</v>
      </c>
      <c r="H66" s="27"/>
      <c r="I66" s="54"/>
      <c r="J66" s="27"/>
      <c r="K66" s="27"/>
      <c r="L66" s="19"/>
      <c r="M66" s="24"/>
      <c r="P66" s="25">
        <v>360</v>
      </c>
    </row>
    <row r="67" spans="3:16" s="17" customFormat="1" ht="12.75" x14ac:dyDescent="0.2">
      <c r="C67" s="18"/>
      <c r="D67" s="20" t="s">
        <v>130</v>
      </c>
      <c r="E67" s="26" t="s">
        <v>20</v>
      </c>
      <c r="F67" s="22" t="s">
        <v>131</v>
      </c>
      <c r="G67" s="23">
        <f t="shared" si="0"/>
        <v>3.7040919999999997</v>
      </c>
      <c r="H67" s="27"/>
      <c r="I67" s="27"/>
      <c r="J67" s="45"/>
      <c r="K67" s="27">
        <f>K73+K83</f>
        <v>3.7040919999999997</v>
      </c>
      <c r="L67" s="19"/>
      <c r="M67" s="24"/>
      <c r="P67" s="25">
        <v>370</v>
      </c>
    </row>
    <row r="68" spans="3:16" s="17" customFormat="1" ht="12.75" x14ac:dyDescent="0.2">
      <c r="C68" s="18"/>
      <c r="D68" s="20" t="s">
        <v>132</v>
      </c>
      <c r="E68" s="26" t="s">
        <v>56</v>
      </c>
      <c r="F68" s="22" t="s">
        <v>133</v>
      </c>
      <c r="G68" s="23">
        <f t="shared" si="0"/>
        <v>0</v>
      </c>
      <c r="H68" s="27"/>
      <c r="I68" s="27"/>
      <c r="J68" s="27"/>
      <c r="K68" s="45"/>
      <c r="L68" s="19"/>
      <c r="M68" s="24"/>
      <c r="P68" s="25">
        <v>380</v>
      </c>
    </row>
    <row r="69" spans="3:16" s="17" customFormat="1" ht="12.75" x14ac:dyDescent="0.2">
      <c r="C69" s="18"/>
      <c r="D69" s="20" t="s">
        <v>134</v>
      </c>
      <c r="E69" s="46" t="s">
        <v>59</v>
      </c>
      <c r="F69" s="22" t="s">
        <v>135</v>
      </c>
      <c r="G69" s="23">
        <f t="shared" si="0"/>
        <v>0</v>
      </c>
      <c r="H69" s="27"/>
      <c r="I69" s="27"/>
      <c r="J69" s="27"/>
      <c r="K69" s="27"/>
      <c r="L69" s="19"/>
      <c r="M69" s="24"/>
      <c r="P69" s="25"/>
    </row>
    <row r="70" spans="3:16" s="17" customFormat="1" ht="12.75" x14ac:dyDescent="0.2">
      <c r="C70" s="18"/>
      <c r="D70" s="20" t="s">
        <v>136</v>
      </c>
      <c r="E70" s="21" t="s">
        <v>62</v>
      </c>
      <c r="F70" s="47" t="s">
        <v>137</v>
      </c>
      <c r="G70" s="23">
        <f t="shared" si="0"/>
        <v>4.5991999999999997</v>
      </c>
      <c r="H70" s="23">
        <f>H71+H73+H76+H79</f>
        <v>0</v>
      </c>
      <c r="I70" s="23">
        <f>I71+I73+I76+I79</f>
        <v>0</v>
      </c>
      <c r="J70" s="23">
        <f>J71+J73+J76+J79</f>
        <v>1.1038079999999999</v>
      </c>
      <c r="K70" s="23">
        <f>K71+K73+K76+K79</f>
        <v>3.4953919999999998</v>
      </c>
      <c r="L70" s="19"/>
      <c r="M70" s="24"/>
      <c r="P70" s="25">
        <v>390</v>
      </c>
    </row>
    <row r="71" spans="3:16" s="17" customFormat="1" ht="22.5" x14ac:dyDescent="0.2">
      <c r="C71" s="18"/>
      <c r="D71" s="20" t="s">
        <v>138</v>
      </c>
      <c r="E71" s="26" t="s">
        <v>65</v>
      </c>
      <c r="F71" s="22" t="s">
        <v>139</v>
      </c>
      <c r="G71" s="23">
        <f t="shared" si="0"/>
        <v>0</v>
      </c>
      <c r="H71" s="27"/>
      <c r="I71" s="27"/>
      <c r="J71" s="27"/>
      <c r="K71" s="27"/>
      <c r="L71" s="19"/>
      <c r="M71" s="24"/>
      <c r="P71" s="25"/>
    </row>
    <row r="72" spans="3:16" s="17" customFormat="1" ht="12.75" x14ac:dyDescent="0.2">
      <c r="C72" s="18"/>
      <c r="D72" s="20" t="s">
        <v>140</v>
      </c>
      <c r="E72" s="48" t="s">
        <v>68</v>
      </c>
      <c r="F72" s="22" t="s">
        <v>141</v>
      </c>
      <c r="G72" s="23">
        <f t="shared" si="0"/>
        <v>0</v>
      </c>
      <c r="H72" s="27"/>
      <c r="I72" s="27"/>
      <c r="J72" s="27"/>
      <c r="K72" s="27"/>
      <c r="L72" s="19"/>
      <c r="M72" s="24"/>
      <c r="P72" s="25"/>
    </row>
    <row r="73" spans="3:16" s="17" customFormat="1" ht="12.75" x14ac:dyDescent="0.2">
      <c r="C73" s="18"/>
      <c r="D73" s="20" t="s">
        <v>142</v>
      </c>
      <c r="E73" s="26" t="s">
        <v>71</v>
      </c>
      <c r="F73" s="22" t="s">
        <v>143</v>
      </c>
      <c r="G73" s="23">
        <f t="shared" si="0"/>
        <v>4.5991999999999997</v>
      </c>
      <c r="H73" s="27">
        <v>0</v>
      </c>
      <c r="I73" s="27">
        <v>0</v>
      </c>
      <c r="J73" s="27">
        <f>4.5992*0.24</f>
        <v>1.1038079999999999</v>
      </c>
      <c r="K73" s="27">
        <f>4.5992-J73</f>
        <v>3.4953919999999998</v>
      </c>
      <c r="L73" s="19"/>
      <c r="M73" s="24"/>
      <c r="P73" s="25"/>
    </row>
    <row r="74" spans="3:16" s="17" customFormat="1" ht="12.75" x14ac:dyDescent="0.2">
      <c r="C74" s="18"/>
      <c r="D74" s="20" t="s">
        <v>144</v>
      </c>
      <c r="E74" s="48" t="s">
        <v>74</v>
      </c>
      <c r="F74" s="22" t="s">
        <v>145</v>
      </c>
      <c r="G74" s="23">
        <f t="shared" si="0"/>
        <v>0</v>
      </c>
      <c r="H74" s="27"/>
      <c r="I74" s="27"/>
      <c r="J74" s="27"/>
      <c r="K74" s="27"/>
      <c r="L74" s="19"/>
      <c r="M74" s="24"/>
      <c r="P74" s="25"/>
    </row>
    <row r="75" spans="3:16" s="17" customFormat="1" ht="12.75" x14ac:dyDescent="0.2">
      <c r="C75" s="18"/>
      <c r="D75" s="20" t="s">
        <v>146</v>
      </c>
      <c r="E75" s="49" t="s">
        <v>68</v>
      </c>
      <c r="F75" s="22" t="s">
        <v>147</v>
      </c>
      <c r="G75" s="23">
        <f t="shared" si="0"/>
        <v>0</v>
      </c>
      <c r="H75" s="27"/>
      <c r="I75" s="27"/>
      <c r="J75" s="27"/>
      <c r="K75" s="27"/>
      <c r="L75" s="19"/>
      <c r="M75" s="24"/>
      <c r="P75" s="25"/>
    </row>
    <row r="76" spans="3:16" s="17" customFormat="1" ht="12.75" x14ac:dyDescent="0.2">
      <c r="C76" s="18"/>
      <c r="D76" s="20" t="s">
        <v>148</v>
      </c>
      <c r="E76" s="26" t="s">
        <v>79</v>
      </c>
      <c r="F76" s="22" t="s">
        <v>149</v>
      </c>
      <c r="G76" s="23">
        <f t="shared" si="0"/>
        <v>0</v>
      </c>
      <c r="H76" s="23">
        <f>SUM(H77:H78)</f>
        <v>0</v>
      </c>
      <c r="I76" s="23">
        <f>SUM(I77:I78)</f>
        <v>0</v>
      </c>
      <c r="J76" s="23">
        <f>SUM(J77:J78)</f>
        <v>0</v>
      </c>
      <c r="K76" s="23">
        <f>SUM(K77:K78)</f>
        <v>0</v>
      </c>
      <c r="L76" s="19"/>
      <c r="M76" s="24"/>
      <c r="P76" s="25"/>
    </row>
    <row r="77" spans="3:16" s="17" customFormat="1" ht="12.75" x14ac:dyDescent="0.2">
      <c r="C77" s="18"/>
      <c r="D77" s="28" t="s">
        <v>150</v>
      </c>
      <c r="E77" s="29"/>
      <c r="F77" s="30" t="s">
        <v>149</v>
      </c>
      <c r="G77" s="31"/>
      <c r="H77" s="31"/>
      <c r="I77" s="31"/>
      <c r="J77" s="31"/>
      <c r="K77" s="31"/>
      <c r="L77" s="19"/>
      <c r="M77" s="24"/>
      <c r="P77" s="25"/>
    </row>
    <row r="78" spans="3:16" s="17" customFormat="1" ht="12.75" x14ac:dyDescent="0.2">
      <c r="C78" s="18"/>
      <c r="D78" s="32"/>
      <c r="E78" s="33" t="s">
        <v>31</v>
      </c>
      <c r="F78" s="34"/>
      <c r="G78" s="34"/>
      <c r="H78" s="34"/>
      <c r="I78" s="34"/>
      <c r="J78" s="34"/>
      <c r="K78" s="35"/>
      <c r="L78" s="19"/>
      <c r="M78" s="24"/>
      <c r="P78" s="25"/>
    </row>
    <row r="79" spans="3:16" s="17" customFormat="1" ht="12.75" x14ac:dyDescent="0.2">
      <c r="C79" s="18"/>
      <c r="D79" s="20" t="s">
        <v>151</v>
      </c>
      <c r="E79" s="51" t="s">
        <v>83</v>
      </c>
      <c r="F79" s="22" t="s">
        <v>152</v>
      </c>
      <c r="G79" s="23">
        <f t="shared" si="0"/>
        <v>0</v>
      </c>
      <c r="H79" s="27"/>
      <c r="I79" s="27"/>
      <c r="J79" s="27"/>
      <c r="K79" s="27"/>
      <c r="L79" s="19"/>
      <c r="M79" s="24"/>
      <c r="P79" s="25">
        <v>410</v>
      </c>
    </row>
    <row r="80" spans="3:16" s="17" customFormat="1" ht="12.75" x14ac:dyDescent="0.2">
      <c r="C80" s="18"/>
      <c r="D80" s="20" t="s">
        <v>153</v>
      </c>
      <c r="E80" s="21" t="s">
        <v>86</v>
      </c>
      <c r="F80" s="22" t="s">
        <v>154</v>
      </c>
      <c r="G80" s="23">
        <f t="shared" si="0"/>
        <v>4.8579879999999998</v>
      </c>
      <c r="H80" s="27">
        <f>H62</f>
        <v>1.153896</v>
      </c>
      <c r="I80" s="27"/>
      <c r="J80" s="27">
        <f>K67</f>
        <v>3.7040919999999997</v>
      </c>
      <c r="K80" s="27"/>
      <c r="L80" s="19"/>
      <c r="M80" s="24"/>
      <c r="P80" s="25">
        <v>440</v>
      </c>
    </row>
    <row r="81" spans="3:16" s="17" customFormat="1" ht="12.75" x14ac:dyDescent="0.2">
      <c r="C81" s="18"/>
      <c r="D81" s="20" t="s">
        <v>155</v>
      </c>
      <c r="E81" s="21" t="s">
        <v>89</v>
      </c>
      <c r="F81" s="22" t="s">
        <v>156</v>
      </c>
      <c r="G81" s="23">
        <f t="shared" si="0"/>
        <v>0</v>
      </c>
      <c r="H81" s="27"/>
      <c r="I81" s="27"/>
      <c r="J81" s="27"/>
      <c r="K81" s="27"/>
      <c r="L81" s="19"/>
      <c r="M81" s="24"/>
      <c r="P81" s="25">
        <v>450</v>
      </c>
    </row>
    <row r="82" spans="3:16" s="17" customFormat="1" ht="12.75" x14ac:dyDescent="0.2">
      <c r="C82" s="18"/>
      <c r="D82" s="20" t="s">
        <v>157</v>
      </c>
      <c r="E82" s="21" t="s">
        <v>92</v>
      </c>
      <c r="F82" s="22" t="s">
        <v>158</v>
      </c>
      <c r="G82" s="23">
        <f t="shared" si="0"/>
        <v>0</v>
      </c>
      <c r="H82" s="27"/>
      <c r="I82" s="27"/>
      <c r="J82" s="27"/>
      <c r="K82" s="27"/>
      <c r="L82" s="19"/>
      <c r="M82" s="24"/>
      <c r="P82" s="25">
        <v>470</v>
      </c>
    </row>
    <row r="83" spans="3:16" s="17" customFormat="1" ht="12.75" x14ac:dyDescent="0.2">
      <c r="C83" s="18"/>
      <c r="D83" s="20" t="s">
        <v>159</v>
      </c>
      <c r="E83" s="21" t="s">
        <v>95</v>
      </c>
      <c r="F83" s="22" t="s">
        <v>160</v>
      </c>
      <c r="G83" s="23">
        <f t="shared" si="0"/>
        <v>0.2087</v>
      </c>
      <c r="H83" s="27"/>
      <c r="I83" s="27"/>
      <c r="J83" s="27"/>
      <c r="K83" s="27">
        <f>0.2087-J83</f>
        <v>0.2087</v>
      </c>
      <c r="L83" s="19"/>
      <c r="M83" s="24"/>
      <c r="P83" s="25">
        <v>480</v>
      </c>
    </row>
    <row r="84" spans="3:16" s="17" customFormat="1" ht="12.75" x14ac:dyDescent="0.2">
      <c r="C84" s="18"/>
      <c r="D84" s="20" t="s">
        <v>161</v>
      </c>
      <c r="E84" s="26" t="s">
        <v>162</v>
      </c>
      <c r="F84" s="22" t="s">
        <v>163</v>
      </c>
      <c r="G84" s="23">
        <f t="shared" si="0"/>
        <v>0</v>
      </c>
      <c r="H84" s="27"/>
      <c r="I84" s="27"/>
      <c r="J84" s="27"/>
      <c r="K84" s="27"/>
      <c r="L84" s="19"/>
      <c r="M84" s="24"/>
      <c r="P84" s="25">
        <v>490</v>
      </c>
    </row>
    <row r="85" spans="3:16" s="17" customFormat="1" ht="12.75" x14ac:dyDescent="0.2">
      <c r="C85" s="18"/>
      <c r="D85" s="20" t="s">
        <v>164</v>
      </c>
      <c r="E85" s="21" t="s">
        <v>101</v>
      </c>
      <c r="F85" s="22" t="s">
        <v>165</v>
      </c>
      <c r="G85" s="23">
        <f t="shared" si="0"/>
        <v>0.2087</v>
      </c>
      <c r="H85" s="27"/>
      <c r="I85" s="27"/>
      <c r="J85" s="27"/>
      <c r="K85" s="27">
        <f>0.2087</f>
        <v>0.2087</v>
      </c>
      <c r="L85" s="19"/>
      <c r="M85" s="24"/>
      <c r="P85" s="25"/>
    </row>
    <row r="86" spans="3:16" s="17" customFormat="1" ht="22.5" x14ac:dyDescent="0.2">
      <c r="C86" s="18"/>
      <c r="D86" s="20" t="s">
        <v>166</v>
      </c>
      <c r="E86" s="46" t="s">
        <v>104</v>
      </c>
      <c r="F86" s="22" t="s">
        <v>167</v>
      </c>
      <c r="G86" s="23">
        <f t="shared" si="0"/>
        <v>0</v>
      </c>
      <c r="H86" s="23">
        <f>H83-H85</f>
        <v>0</v>
      </c>
      <c r="I86" s="23">
        <f>I83-I85</f>
        <v>0</v>
      </c>
      <c r="J86" s="23">
        <f>J83-J85</f>
        <v>0</v>
      </c>
      <c r="K86" s="23">
        <f>K83-K85</f>
        <v>0</v>
      </c>
      <c r="L86" s="19"/>
      <c r="M86" s="24"/>
      <c r="P86" s="25"/>
    </row>
    <row r="87" spans="3:16" s="17" customFormat="1" ht="12.75" x14ac:dyDescent="0.2">
      <c r="C87" s="18"/>
      <c r="D87" s="20" t="s">
        <v>168</v>
      </c>
      <c r="E87" s="21" t="s">
        <v>107</v>
      </c>
      <c r="F87" s="22" t="s">
        <v>169</v>
      </c>
      <c r="G87" s="23">
        <f t="shared" si="0"/>
        <v>0</v>
      </c>
      <c r="H87" s="23">
        <f>(H52+H64+H69)-(H70+H80+H81+H82+H83)</f>
        <v>0</v>
      </c>
      <c r="I87" s="23">
        <f>(I52+I64+I69)-(I70+I80+I81+I82+I83)</f>
        <v>0</v>
      </c>
      <c r="J87" s="23">
        <f>(J52+J64+J69)-(J70+J80+J81+J82+J83)</f>
        <v>0</v>
      </c>
      <c r="K87" s="23">
        <f>(K52+K64+K69)-(K70+K80+K81+K82+K83)</f>
        <v>0</v>
      </c>
      <c r="L87" s="19"/>
      <c r="M87" s="24"/>
      <c r="P87" s="25">
        <v>500</v>
      </c>
    </row>
    <row r="88" spans="3:16" s="17" customFormat="1" ht="12.75" x14ac:dyDescent="0.2">
      <c r="C88" s="18"/>
      <c r="D88" s="87" t="s">
        <v>170</v>
      </c>
      <c r="E88" s="88"/>
      <c r="F88" s="88"/>
      <c r="G88" s="88"/>
      <c r="H88" s="88"/>
      <c r="I88" s="88"/>
      <c r="J88" s="88"/>
      <c r="K88" s="89"/>
      <c r="L88" s="19"/>
      <c r="M88" s="24"/>
      <c r="P88" s="36"/>
    </row>
    <row r="89" spans="3:16" s="17" customFormat="1" ht="12.75" x14ac:dyDescent="0.2">
      <c r="C89" s="18"/>
      <c r="D89" s="20" t="s">
        <v>171</v>
      </c>
      <c r="E89" s="21" t="s">
        <v>172</v>
      </c>
      <c r="F89" s="22" t="s">
        <v>173</v>
      </c>
      <c r="G89" s="23">
        <f t="shared" si="0"/>
        <v>4.5991999999999997</v>
      </c>
      <c r="H89" s="27"/>
      <c r="I89" s="27"/>
      <c r="J89" s="42">
        <f>J73</f>
        <v>1.1038079999999999</v>
      </c>
      <c r="K89" s="42">
        <f>K73</f>
        <v>3.4953919999999998</v>
      </c>
      <c r="L89" s="19"/>
      <c r="M89" s="24"/>
      <c r="P89" s="25">
        <v>600</v>
      </c>
    </row>
    <row r="90" spans="3:16" s="17" customFormat="1" ht="12.75" x14ac:dyDescent="0.2">
      <c r="C90" s="18"/>
      <c r="D90" s="20" t="s">
        <v>174</v>
      </c>
      <c r="E90" s="21" t="s">
        <v>175</v>
      </c>
      <c r="F90" s="22" t="s">
        <v>176</v>
      </c>
      <c r="G90" s="23">
        <f t="shared" si="0"/>
        <v>0</v>
      </c>
      <c r="H90" s="27"/>
      <c r="I90" s="27"/>
      <c r="J90" s="27"/>
      <c r="K90" s="27"/>
      <c r="L90" s="19"/>
      <c r="M90" s="24"/>
      <c r="P90" s="25">
        <v>610</v>
      </c>
    </row>
    <row r="91" spans="3:16" s="17" customFormat="1" ht="12.75" x14ac:dyDescent="0.2">
      <c r="C91" s="18"/>
      <c r="D91" s="20" t="s">
        <v>177</v>
      </c>
      <c r="E91" s="21" t="s">
        <v>178</v>
      </c>
      <c r="F91" s="22" t="s">
        <v>179</v>
      </c>
      <c r="G91" s="23">
        <f t="shared" si="0"/>
        <v>0</v>
      </c>
      <c r="H91" s="27"/>
      <c r="I91" s="27"/>
      <c r="J91" s="27"/>
      <c r="K91" s="27"/>
      <c r="L91" s="19"/>
      <c r="M91" s="24"/>
      <c r="P91" s="25">
        <v>620</v>
      </c>
    </row>
    <row r="92" spans="3:16" s="17" customFormat="1" ht="12.75" x14ac:dyDescent="0.2">
      <c r="C92" s="18"/>
      <c r="D92" s="87" t="s">
        <v>180</v>
      </c>
      <c r="E92" s="88"/>
      <c r="F92" s="88"/>
      <c r="G92" s="88"/>
      <c r="H92" s="88"/>
      <c r="I92" s="88"/>
      <c r="J92" s="88"/>
      <c r="K92" s="89"/>
      <c r="L92" s="19"/>
      <c r="M92" s="24"/>
      <c r="P92" s="36"/>
    </row>
    <row r="93" spans="3:16" s="17" customFormat="1" ht="12.75" x14ac:dyDescent="0.2">
      <c r="C93" s="18"/>
      <c r="D93" s="20" t="s">
        <v>181</v>
      </c>
      <c r="E93" s="21" t="s">
        <v>182</v>
      </c>
      <c r="F93" s="22" t="s">
        <v>183</v>
      </c>
      <c r="G93" s="23">
        <f t="shared" si="0"/>
        <v>0</v>
      </c>
      <c r="H93" s="23">
        <f>SUM(H94:H95)</f>
        <v>0</v>
      </c>
      <c r="I93" s="23">
        <f>SUM(I94:I95)</f>
        <v>0</v>
      </c>
      <c r="J93" s="23">
        <f>SUM(J94:J95)</f>
        <v>0</v>
      </c>
      <c r="K93" s="23">
        <f>SUM(K94:K95)</f>
        <v>0</v>
      </c>
      <c r="L93" s="19"/>
      <c r="M93" s="24"/>
      <c r="P93" s="25">
        <v>700</v>
      </c>
    </row>
    <row r="94" spans="3:16" ht="12.75" x14ac:dyDescent="0.2">
      <c r="C94" s="6"/>
      <c r="D94" s="55" t="s">
        <v>184</v>
      </c>
      <c r="E94" s="26" t="s">
        <v>185</v>
      </c>
      <c r="F94" s="22" t="s">
        <v>186</v>
      </c>
      <c r="G94" s="23">
        <f t="shared" si="0"/>
        <v>0</v>
      </c>
      <c r="H94" s="56"/>
      <c r="I94" s="56"/>
      <c r="J94" s="56"/>
      <c r="K94" s="56"/>
      <c r="L94" s="13"/>
      <c r="M94" s="24"/>
      <c r="P94" s="25">
        <v>710</v>
      </c>
    </row>
    <row r="95" spans="3:16" ht="12.75" x14ac:dyDescent="0.2">
      <c r="C95" s="6"/>
      <c r="D95" s="55" t="s">
        <v>187</v>
      </c>
      <c r="E95" s="26" t="s">
        <v>188</v>
      </c>
      <c r="F95" s="22" t="s">
        <v>189</v>
      </c>
      <c r="G95" s="23">
        <f t="shared" si="0"/>
        <v>0</v>
      </c>
      <c r="H95" s="57">
        <f>H98</f>
        <v>0</v>
      </c>
      <c r="I95" s="57">
        <f>I98</f>
        <v>0</v>
      </c>
      <c r="J95" s="57">
        <f>J98</f>
        <v>0</v>
      </c>
      <c r="K95" s="57">
        <f>K98</f>
        <v>0</v>
      </c>
      <c r="L95" s="13"/>
      <c r="M95" s="24"/>
      <c r="P95" s="25">
        <v>720</v>
      </c>
    </row>
    <row r="96" spans="3:16" ht="12.75" x14ac:dyDescent="0.2">
      <c r="C96" s="6"/>
      <c r="D96" s="55" t="s">
        <v>190</v>
      </c>
      <c r="E96" s="48" t="s">
        <v>191</v>
      </c>
      <c r="F96" s="22" t="s">
        <v>192</v>
      </c>
      <c r="G96" s="23">
        <f t="shared" si="0"/>
        <v>0</v>
      </c>
      <c r="H96" s="56"/>
      <c r="I96" s="56"/>
      <c r="J96" s="56"/>
      <c r="K96" s="56"/>
      <c r="L96" s="13"/>
      <c r="M96" s="24"/>
      <c r="P96" s="25">
        <v>730</v>
      </c>
    </row>
    <row r="97" spans="3:16" ht="12.75" x14ac:dyDescent="0.2">
      <c r="C97" s="6"/>
      <c r="D97" s="55" t="s">
        <v>193</v>
      </c>
      <c r="E97" s="49" t="s">
        <v>194</v>
      </c>
      <c r="F97" s="22" t="s">
        <v>195</v>
      </c>
      <c r="G97" s="23">
        <f t="shared" si="0"/>
        <v>0</v>
      </c>
      <c r="H97" s="56"/>
      <c r="I97" s="56"/>
      <c r="J97" s="56"/>
      <c r="K97" s="56"/>
      <c r="L97" s="13"/>
      <c r="M97" s="24"/>
      <c r="P97" s="25"/>
    </row>
    <row r="98" spans="3:16" ht="12.75" x14ac:dyDescent="0.2">
      <c r="C98" s="6"/>
      <c r="D98" s="55" t="s">
        <v>196</v>
      </c>
      <c r="E98" s="48" t="s">
        <v>197</v>
      </c>
      <c r="F98" s="22" t="s">
        <v>198</v>
      </c>
      <c r="G98" s="23">
        <f t="shared" si="0"/>
        <v>0</v>
      </c>
      <c r="H98" s="56"/>
      <c r="I98" s="56"/>
      <c r="J98" s="56"/>
      <c r="K98" s="56"/>
      <c r="L98" s="13"/>
      <c r="M98" s="24"/>
      <c r="P98" s="25">
        <v>740</v>
      </c>
    </row>
    <row r="99" spans="3:16" ht="12.75" x14ac:dyDescent="0.2">
      <c r="C99" s="6"/>
      <c r="D99" s="55" t="s">
        <v>199</v>
      </c>
      <c r="E99" s="21" t="s">
        <v>200</v>
      </c>
      <c r="F99" s="22" t="s">
        <v>201</v>
      </c>
      <c r="G99" s="23">
        <f t="shared" si="0"/>
        <v>0</v>
      </c>
      <c r="H99" s="57">
        <f>H100+H116</f>
        <v>0</v>
      </c>
      <c r="I99" s="57">
        <f>I100+I116</f>
        <v>0</v>
      </c>
      <c r="J99" s="57">
        <f>J100+J116</f>
        <v>0</v>
      </c>
      <c r="K99" s="57">
        <f>K100+K116</f>
        <v>0</v>
      </c>
      <c r="L99" s="13"/>
      <c r="M99" s="24"/>
      <c r="P99" s="25">
        <v>750</v>
      </c>
    </row>
    <row r="100" spans="3:16" ht="12.75" x14ac:dyDescent="0.2">
      <c r="C100" s="6"/>
      <c r="D100" s="55" t="s">
        <v>202</v>
      </c>
      <c r="E100" s="26" t="s">
        <v>203</v>
      </c>
      <c r="F100" s="22" t="s">
        <v>204</v>
      </c>
      <c r="G100" s="23">
        <f t="shared" si="0"/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57">
        <f>K101+K102</f>
        <v>0</v>
      </c>
      <c r="L100" s="13"/>
      <c r="M100" s="24"/>
      <c r="P100" s="25">
        <v>760</v>
      </c>
    </row>
    <row r="101" spans="3:16" ht="12.75" x14ac:dyDescent="0.2">
      <c r="C101" s="6"/>
      <c r="D101" s="55" t="s">
        <v>205</v>
      </c>
      <c r="E101" s="48" t="s">
        <v>206</v>
      </c>
      <c r="F101" s="22" t="s">
        <v>207</v>
      </c>
      <c r="G101" s="23">
        <f t="shared" si="0"/>
        <v>0</v>
      </c>
      <c r="H101" s="56"/>
      <c r="I101" s="56"/>
      <c r="J101" s="56"/>
      <c r="K101" s="56"/>
      <c r="L101" s="13"/>
      <c r="M101" s="24"/>
      <c r="P101" s="25"/>
    </row>
    <row r="102" spans="3:16" ht="12.75" x14ac:dyDescent="0.2">
      <c r="C102" s="6"/>
      <c r="D102" s="55" t="s">
        <v>208</v>
      </c>
      <c r="E102" s="48" t="s">
        <v>209</v>
      </c>
      <c r="F102" s="22" t="s">
        <v>210</v>
      </c>
      <c r="G102" s="23">
        <f t="shared" si="0"/>
        <v>0</v>
      </c>
      <c r="H102" s="57">
        <f>H103+H106+H109+H112+H113+H114+H115</f>
        <v>0</v>
      </c>
      <c r="I102" s="57">
        <f>I103+I106+I109+I112+I113+I114+I115</f>
        <v>0</v>
      </c>
      <c r="J102" s="57">
        <f>J103+J106+J109+J112+J113+J114+J115</f>
        <v>0</v>
      </c>
      <c r="K102" s="57">
        <f>K103+K106+K109+K112+K113+K114+K115</f>
        <v>0</v>
      </c>
      <c r="L102" s="13"/>
      <c r="M102" s="24"/>
      <c r="P102" s="25"/>
    </row>
    <row r="103" spans="3:16" ht="33.75" x14ac:dyDescent="0.2">
      <c r="C103" s="6"/>
      <c r="D103" s="55" t="s">
        <v>211</v>
      </c>
      <c r="E103" s="49" t="s">
        <v>212</v>
      </c>
      <c r="F103" s="22" t="s">
        <v>213</v>
      </c>
      <c r="G103" s="23">
        <f t="shared" si="0"/>
        <v>0</v>
      </c>
      <c r="H103" s="58">
        <f>H104+H105</f>
        <v>0</v>
      </c>
      <c r="I103" s="58">
        <f>I104+I105</f>
        <v>0</v>
      </c>
      <c r="J103" s="58">
        <f>J104+J105</f>
        <v>0</v>
      </c>
      <c r="K103" s="58">
        <f>K104+K105</f>
        <v>0</v>
      </c>
      <c r="L103" s="13"/>
      <c r="M103" s="24"/>
      <c r="P103" s="25"/>
    </row>
    <row r="104" spans="3:16" ht="12.75" x14ac:dyDescent="0.2">
      <c r="C104" s="6"/>
      <c r="D104" s="55" t="s">
        <v>214</v>
      </c>
      <c r="E104" s="59" t="s">
        <v>215</v>
      </c>
      <c r="F104" s="22" t="s">
        <v>216</v>
      </c>
      <c r="G104" s="23">
        <f t="shared" si="0"/>
        <v>0</v>
      </c>
      <c r="H104" s="56"/>
      <c r="I104" s="56"/>
      <c r="J104" s="56"/>
      <c r="K104" s="56"/>
      <c r="L104" s="13"/>
      <c r="M104" s="24"/>
      <c r="P104" s="25"/>
    </row>
    <row r="105" spans="3:16" ht="12.75" x14ac:dyDescent="0.2">
      <c r="C105" s="6"/>
      <c r="D105" s="55" t="s">
        <v>217</v>
      </c>
      <c r="E105" s="59" t="s">
        <v>218</v>
      </c>
      <c r="F105" s="22" t="s">
        <v>219</v>
      </c>
      <c r="G105" s="23">
        <f t="shared" si="0"/>
        <v>0</v>
      </c>
      <c r="H105" s="56"/>
      <c r="I105" s="56"/>
      <c r="J105" s="56"/>
      <c r="K105" s="56"/>
      <c r="L105" s="13"/>
      <c r="M105" s="24"/>
      <c r="P105" s="25"/>
    </row>
    <row r="106" spans="3:16" ht="33.75" x14ac:dyDescent="0.2">
      <c r="C106" s="6"/>
      <c r="D106" s="55" t="s">
        <v>220</v>
      </c>
      <c r="E106" s="49" t="s">
        <v>221</v>
      </c>
      <c r="F106" s="22" t="s">
        <v>222</v>
      </c>
      <c r="G106" s="23">
        <f t="shared" si="0"/>
        <v>0</v>
      </c>
      <c r="H106" s="58">
        <f>H107+H108</f>
        <v>0</v>
      </c>
      <c r="I106" s="58">
        <f>I107+I108</f>
        <v>0</v>
      </c>
      <c r="J106" s="58">
        <f>J107+J108</f>
        <v>0</v>
      </c>
      <c r="K106" s="58">
        <f>K107+K108</f>
        <v>0</v>
      </c>
      <c r="L106" s="13"/>
      <c r="M106" s="24"/>
      <c r="P106" s="25"/>
    </row>
    <row r="107" spans="3:16" ht="12.75" x14ac:dyDescent="0.2">
      <c r="C107" s="6"/>
      <c r="D107" s="55" t="s">
        <v>223</v>
      </c>
      <c r="E107" s="59" t="s">
        <v>215</v>
      </c>
      <c r="F107" s="22" t="s">
        <v>224</v>
      </c>
      <c r="G107" s="23">
        <f t="shared" si="0"/>
        <v>0</v>
      </c>
      <c r="H107" s="56"/>
      <c r="I107" s="56"/>
      <c r="J107" s="56"/>
      <c r="K107" s="56"/>
      <c r="L107" s="13"/>
      <c r="M107" s="24"/>
      <c r="P107" s="25"/>
    </row>
    <row r="108" spans="3:16" ht="12.75" x14ac:dyDescent="0.2">
      <c r="C108" s="6"/>
      <c r="D108" s="55" t="s">
        <v>225</v>
      </c>
      <c r="E108" s="59" t="s">
        <v>218</v>
      </c>
      <c r="F108" s="22" t="s">
        <v>226</v>
      </c>
      <c r="G108" s="23">
        <f t="shared" si="0"/>
        <v>0</v>
      </c>
      <c r="H108" s="56"/>
      <c r="I108" s="56"/>
      <c r="J108" s="56"/>
      <c r="K108" s="56"/>
      <c r="L108" s="13"/>
      <c r="M108" s="24"/>
      <c r="P108" s="25"/>
    </row>
    <row r="109" spans="3:16" ht="22.5" x14ac:dyDescent="0.2">
      <c r="C109" s="6"/>
      <c r="D109" s="55" t="s">
        <v>227</v>
      </c>
      <c r="E109" s="49" t="s">
        <v>228</v>
      </c>
      <c r="F109" s="22" t="s">
        <v>229</v>
      </c>
      <c r="G109" s="23">
        <f t="shared" si="0"/>
        <v>0</v>
      </c>
      <c r="H109" s="58">
        <f>H110+H111</f>
        <v>0</v>
      </c>
      <c r="I109" s="58">
        <f>I110+I111</f>
        <v>0</v>
      </c>
      <c r="J109" s="58">
        <f>J110+J111</f>
        <v>0</v>
      </c>
      <c r="K109" s="58">
        <f>K110+K111</f>
        <v>0</v>
      </c>
      <c r="L109" s="13"/>
      <c r="M109" s="24"/>
      <c r="P109" s="25"/>
    </row>
    <row r="110" spans="3:16" ht="12.75" x14ac:dyDescent="0.2">
      <c r="C110" s="6"/>
      <c r="D110" s="55" t="s">
        <v>230</v>
      </c>
      <c r="E110" s="59" t="s">
        <v>215</v>
      </c>
      <c r="F110" s="22" t="s">
        <v>231</v>
      </c>
      <c r="G110" s="23">
        <f t="shared" si="0"/>
        <v>0</v>
      </c>
      <c r="H110" s="56"/>
      <c r="I110" s="56"/>
      <c r="J110" s="56"/>
      <c r="K110" s="56"/>
      <c r="L110" s="13"/>
      <c r="M110" s="24"/>
      <c r="P110" s="25"/>
    </row>
    <row r="111" spans="3:16" ht="12.75" x14ac:dyDescent="0.2">
      <c r="C111" s="6"/>
      <c r="D111" s="55" t="s">
        <v>232</v>
      </c>
      <c r="E111" s="59" t="s">
        <v>218</v>
      </c>
      <c r="F111" s="22" t="s">
        <v>233</v>
      </c>
      <c r="G111" s="23">
        <f t="shared" si="0"/>
        <v>0</v>
      </c>
      <c r="H111" s="56"/>
      <c r="I111" s="56"/>
      <c r="J111" s="56"/>
      <c r="K111" s="56"/>
      <c r="L111" s="13"/>
      <c r="M111" s="24"/>
      <c r="P111" s="25"/>
    </row>
    <row r="112" spans="3:16" ht="12.75" x14ac:dyDescent="0.2">
      <c r="C112" s="6"/>
      <c r="D112" s="55" t="s">
        <v>234</v>
      </c>
      <c r="E112" s="49" t="s">
        <v>235</v>
      </c>
      <c r="F112" s="22" t="s">
        <v>236</v>
      </c>
      <c r="G112" s="23">
        <f t="shared" si="0"/>
        <v>0</v>
      </c>
      <c r="H112" s="56"/>
      <c r="I112" s="56"/>
      <c r="J112" s="56"/>
      <c r="K112" s="56"/>
      <c r="L112" s="13"/>
      <c r="M112" s="24"/>
      <c r="P112" s="25"/>
    </row>
    <row r="113" spans="3:16" ht="12.75" x14ac:dyDescent="0.2">
      <c r="C113" s="6"/>
      <c r="D113" s="55" t="s">
        <v>237</v>
      </c>
      <c r="E113" s="49" t="s">
        <v>238</v>
      </c>
      <c r="F113" s="22" t="s">
        <v>239</v>
      </c>
      <c r="G113" s="23">
        <f t="shared" si="0"/>
        <v>0</v>
      </c>
      <c r="H113" s="56"/>
      <c r="I113" s="56"/>
      <c r="J113" s="56"/>
      <c r="K113" s="56"/>
      <c r="L113" s="13"/>
      <c r="M113" s="24"/>
      <c r="P113" s="25"/>
    </row>
    <row r="114" spans="3:16" ht="33.75" x14ac:dyDescent="0.2">
      <c r="C114" s="6"/>
      <c r="D114" s="55" t="s">
        <v>240</v>
      </c>
      <c r="E114" s="49" t="s">
        <v>241</v>
      </c>
      <c r="F114" s="22" t="s">
        <v>242</v>
      </c>
      <c r="G114" s="23">
        <f t="shared" si="0"/>
        <v>0</v>
      </c>
      <c r="H114" s="56"/>
      <c r="I114" s="56"/>
      <c r="J114" s="56"/>
      <c r="K114" s="56"/>
      <c r="L114" s="13"/>
      <c r="M114" s="24"/>
      <c r="P114" s="25"/>
    </row>
    <row r="115" spans="3:16" ht="22.5" x14ac:dyDescent="0.2">
      <c r="C115" s="6"/>
      <c r="D115" s="55" t="s">
        <v>243</v>
      </c>
      <c r="E115" s="49" t="s">
        <v>244</v>
      </c>
      <c r="F115" s="22" t="s">
        <v>245</v>
      </c>
      <c r="G115" s="23">
        <f t="shared" si="0"/>
        <v>0</v>
      </c>
      <c r="H115" s="56"/>
      <c r="I115" s="56"/>
      <c r="J115" s="56"/>
      <c r="K115" s="56"/>
      <c r="L115" s="13"/>
      <c r="M115" s="24"/>
      <c r="P115" s="25"/>
    </row>
    <row r="116" spans="3:16" ht="12.75" x14ac:dyDescent="0.2">
      <c r="C116" s="6"/>
      <c r="D116" s="55" t="s">
        <v>246</v>
      </c>
      <c r="E116" s="26" t="s">
        <v>247</v>
      </c>
      <c r="F116" s="22" t="s">
        <v>248</v>
      </c>
      <c r="G116" s="23">
        <f t="shared" si="0"/>
        <v>0</v>
      </c>
      <c r="H116" s="57">
        <f>H119</f>
        <v>0</v>
      </c>
      <c r="I116" s="57">
        <f>I119</f>
        <v>0</v>
      </c>
      <c r="J116" s="57">
        <f>J119</f>
        <v>0</v>
      </c>
      <c r="K116" s="57">
        <f>K119</f>
        <v>0</v>
      </c>
      <c r="L116" s="13"/>
      <c r="M116" s="24"/>
      <c r="P116" s="25">
        <v>770</v>
      </c>
    </row>
    <row r="117" spans="3:16" ht="12.75" x14ac:dyDescent="0.2">
      <c r="C117" s="6"/>
      <c r="D117" s="55" t="s">
        <v>249</v>
      </c>
      <c r="E117" s="48" t="s">
        <v>191</v>
      </c>
      <c r="F117" s="22" t="s">
        <v>250</v>
      </c>
      <c r="G117" s="23">
        <f t="shared" si="0"/>
        <v>0</v>
      </c>
      <c r="H117" s="56"/>
      <c r="I117" s="56"/>
      <c r="J117" s="56"/>
      <c r="K117" s="56"/>
      <c r="L117" s="13"/>
      <c r="M117" s="24"/>
      <c r="P117" s="25">
        <v>780</v>
      </c>
    </row>
    <row r="118" spans="3:16" ht="12.75" x14ac:dyDescent="0.2">
      <c r="C118" s="6"/>
      <c r="D118" s="55" t="s">
        <v>251</v>
      </c>
      <c r="E118" s="49" t="s">
        <v>252</v>
      </c>
      <c r="F118" s="22" t="s">
        <v>253</v>
      </c>
      <c r="G118" s="23">
        <f t="shared" si="0"/>
        <v>0</v>
      </c>
      <c r="H118" s="56"/>
      <c r="I118" s="56"/>
      <c r="J118" s="56"/>
      <c r="K118" s="56"/>
      <c r="L118" s="13"/>
      <c r="M118" s="24"/>
      <c r="P118" s="25"/>
    </row>
    <row r="119" spans="3:16" ht="12.75" x14ac:dyDescent="0.2">
      <c r="C119" s="6"/>
      <c r="D119" s="55" t="s">
        <v>254</v>
      </c>
      <c r="E119" s="48" t="s">
        <v>197</v>
      </c>
      <c r="F119" s="22" t="s">
        <v>255</v>
      </c>
      <c r="G119" s="23">
        <f t="shared" si="0"/>
        <v>0</v>
      </c>
      <c r="H119" s="56"/>
      <c r="I119" s="56"/>
      <c r="J119" s="56"/>
      <c r="K119" s="56"/>
      <c r="L119" s="13"/>
      <c r="M119" s="24"/>
      <c r="P119" s="25">
        <v>790</v>
      </c>
    </row>
    <row r="120" spans="3:16" ht="12.75" x14ac:dyDescent="0.2">
      <c r="C120" s="6"/>
      <c r="D120" s="55" t="s">
        <v>256</v>
      </c>
      <c r="E120" s="46" t="s">
        <v>257</v>
      </c>
      <c r="F120" s="22" t="s">
        <v>258</v>
      </c>
      <c r="G120" s="23">
        <f t="shared" si="0"/>
        <v>2427.1869999999999</v>
      </c>
      <c r="H120" s="57">
        <f>SUM(H121:H122)</f>
        <v>0</v>
      </c>
      <c r="I120" s="57">
        <f>SUM(I121:I122)</f>
        <v>0</v>
      </c>
      <c r="J120" s="57">
        <f>SUM(J121:J122)</f>
        <v>318.73700000000002</v>
      </c>
      <c r="K120" s="57">
        <f>SUM(K121:K122)</f>
        <v>2108.4499999999998</v>
      </c>
      <c r="L120" s="13"/>
      <c r="M120" s="24"/>
      <c r="P120" s="25"/>
    </row>
    <row r="121" spans="3:16" ht="12.75" x14ac:dyDescent="0.2">
      <c r="C121" s="6"/>
      <c r="D121" s="55" t="s">
        <v>259</v>
      </c>
      <c r="E121" s="26" t="s">
        <v>185</v>
      </c>
      <c r="F121" s="22" t="s">
        <v>260</v>
      </c>
      <c r="G121" s="23">
        <f t="shared" si="0"/>
        <v>2427.1869999999999</v>
      </c>
      <c r="H121" s="56"/>
      <c r="I121" s="56"/>
      <c r="J121" s="56">
        <f>J36</f>
        <v>318.73700000000002</v>
      </c>
      <c r="K121" s="56">
        <f>K36</f>
        <v>2108.4499999999998</v>
      </c>
      <c r="L121" s="13"/>
      <c r="M121" s="24"/>
      <c r="P121" s="25"/>
    </row>
    <row r="122" spans="3:16" ht="12.75" x14ac:dyDescent="0.2">
      <c r="C122" s="6"/>
      <c r="D122" s="55" t="s">
        <v>261</v>
      </c>
      <c r="E122" s="26" t="s">
        <v>188</v>
      </c>
      <c r="F122" s="22" t="s">
        <v>262</v>
      </c>
      <c r="G122" s="23">
        <f t="shared" si="0"/>
        <v>0</v>
      </c>
      <c r="H122" s="57">
        <f>H124</f>
        <v>0</v>
      </c>
      <c r="I122" s="57">
        <f>I124</f>
        <v>0</v>
      </c>
      <c r="J122" s="57">
        <f>J124</f>
        <v>0</v>
      </c>
      <c r="K122" s="57">
        <f>K124</f>
        <v>0</v>
      </c>
      <c r="L122" s="13"/>
      <c r="M122" s="24"/>
      <c r="P122" s="25"/>
    </row>
    <row r="123" spans="3:16" ht="12.75" x14ac:dyDescent="0.2">
      <c r="C123" s="6"/>
      <c r="D123" s="55" t="s">
        <v>263</v>
      </c>
      <c r="E123" s="48" t="s">
        <v>264</v>
      </c>
      <c r="F123" s="22" t="s">
        <v>265</v>
      </c>
      <c r="G123" s="23">
        <f t="shared" si="0"/>
        <v>0</v>
      </c>
      <c r="H123" s="56"/>
      <c r="I123" s="56"/>
      <c r="J123" s="56"/>
      <c r="K123" s="56"/>
      <c r="L123" s="13"/>
      <c r="M123" s="24"/>
      <c r="P123" s="25"/>
    </row>
    <row r="124" spans="3:16" ht="12.75" x14ac:dyDescent="0.2">
      <c r="C124" s="6"/>
      <c r="D124" s="55" t="s">
        <v>266</v>
      </c>
      <c r="E124" s="48" t="s">
        <v>197</v>
      </c>
      <c r="F124" s="22" t="s">
        <v>267</v>
      </c>
      <c r="G124" s="23">
        <f t="shared" si="0"/>
        <v>0</v>
      </c>
      <c r="H124" s="56"/>
      <c r="I124" s="56"/>
      <c r="J124" s="56"/>
      <c r="K124" s="56"/>
      <c r="L124" s="13"/>
      <c r="M124" s="24"/>
      <c r="P124" s="25"/>
    </row>
    <row r="125" spans="3:16" ht="12.75" x14ac:dyDescent="0.2">
      <c r="C125" s="6"/>
      <c r="D125" s="87" t="s">
        <v>268</v>
      </c>
      <c r="E125" s="88"/>
      <c r="F125" s="88"/>
      <c r="G125" s="88"/>
      <c r="H125" s="88"/>
      <c r="I125" s="88"/>
      <c r="J125" s="88"/>
      <c r="K125" s="89"/>
      <c r="L125" s="13"/>
      <c r="M125" s="24"/>
      <c r="P125" s="60"/>
    </row>
    <row r="126" spans="3:16" ht="22.5" x14ac:dyDescent="0.2">
      <c r="C126" s="6"/>
      <c r="D126" s="55" t="s">
        <v>269</v>
      </c>
      <c r="E126" s="21" t="s">
        <v>270</v>
      </c>
      <c r="F126" s="22" t="s">
        <v>271</v>
      </c>
      <c r="G126" s="23">
        <f t="shared" si="0"/>
        <v>0</v>
      </c>
      <c r="H126" s="57">
        <f>SUM( H127:H128)</f>
        <v>0</v>
      </c>
      <c r="I126" s="57">
        <f>SUM( I127:I128)</f>
        <v>0</v>
      </c>
      <c r="J126" s="57">
        <f>SUM( J127:J128)</f>
        <v>0</v>
      </c>
      <c r="K126" s="57">
        <f>SUM( K127:K128)</f>
        <v>0</v>
      </c>
      <c r="L126" s="13"/>
      <c r="M126" s="24"/>
      <c r="P126" s="25">
        <v>800</v>
      </c>
    </row>
    <row r="127" spans="3:16" ht="12.75" x14ac:dyDescent="0.2">
      <c r="C127" s="6"/>
      <c r="D127" s="55" t="s">
        <v>272</v>
      </c>
      <c r="E127" s="26" t="s">
        <v>185</v>
      </c>
      <c r="F127" s="22" t="s">
        <v>273</v>
      </c>
      <c r="G127" s="23">
        <f t="shared" si="0"/>
        <v>0</v>
      </c>
      <c r="H127" s="56"/>
      <c r="I127" s="56"/>
      <c r="J127" s="56"/>
      <c r="K127" s="56"/>
      <c r="L127" s="13"/>
      <c r="M127" s="24"/>
      <c r="P127" s="25">
        <v>810</v>
      </c>
    </row>
    <row r="128" spans="3:16" ht="12.75" x14ac:dyDescent="0.2">
      <c r="C128" s="6"/>
      <c r="D128" s="55" t="s">
        <v>274</v>
      </c>
      <c r="E128" s="26" t="s">
        <v>188</v>
      </c>
      <c r="F128" s="22" t="s">
        <v>275</v>
      </c>
      <c r="G128" s="23">
        <f t="shared" si="0"/>
        <v>0</v>
      </c>
      <c r="H128" s="57">
        <f>H129+H131</f>
        <v>0</v>
      </c>
      <c r="I128" s="57">
        <f>I129+I131</f>
        <v>0</v>
      </c>
      <c r="J128" s="57">
        <f>J129+J131</f>
        <v>0</v>
      </c>
      <c r="K128" s="57">
        <f>K129+K131</f>
        <v>0</v>
      </c>
      <c r="L128" s="13"/>
      <c r="M128" s="24"/>
      <c r="P128" s="25">
        <v>820</v>
      </c>
    </row>
    <row r="129" spans="3:16" ht="12.75" x14ac:dyDescent="0.2">
      <c r="C129" s="6"/>
      <c r="D129" s="55" t="s">
        <v>276</v>
      </c>
      <c r="E129" s="48" t="s">
        <v>277</v>
      </c>
      <c r="F129" s="22" t="s">
        <v>278</v>
      </c>
      <c r="G129" s="23">
        <f t="shared" si="0"/>
        <v>0</v>
      </c>
      <c r="H129" s="56"/>
      <c r="I129" s="56"/>
      <c r="J129" s="56"/>
      <c r="K129" s="56"/>
      <c r="L129" s="13"/>
      <c r="M129" s="24"/>
      <c r="P129" s="25">
        <v>830</v>
      </c>
    </row>
    <row r="130" spans="3:16" ht="12.75" x14ac:dyDescent="0.2">
      <c r="C130" s="6"/>
      <c r="D130" s="55" t="s">
        <v>279</v>
      </c>
      <c r="E130" s="49" t="s">
        <v>280</v>
      </c>
      <c r="F130" s="22" t="s">
        <v>281</v>
      </c>
      <c r="G130" s="23">
        <f t="shared" si="0"/>
        <v>0</v>
      </c>
      <c r="H130" s="56"/>
      <c r="I130" s="56"/>
      <c r="J130" s="56"/>
      <c r="K130" s="56"/>
      <c r="L130" s="13"/>
      <c r="M130" s="24"/>
      <c r="P130" s="60"/>
    </row>
    <row r="131" spans="3:16" ht="12.75" x14ac:dyDescent="0.2">
      <c r="C131" s="6"/>
      <c r="D131" s="55" t="s">
        <v>282</v>
      </c>
      <c r="E131" s="48" t="s">
        <v>283</v>
      </c>
      <c r="F131" s="22" t="s">
        <v>284</v>
      </c>
      <c r="G131" s="23">
        <f t="shared" si="0"/>
        <v>0</v>
      </c>
      <c r="H131" s="56"/>
      <c r="I131" s="56"/>
      <c r="J131" s="56"/>
      <c r="K131" s="56"/>
      <c r="L131" s="13"/>
      <c r="M131" s="24"/>
      <c r="P131" s="25">
        <v>840</v>
      </c>
    </row>
    <row r="132" spans="3:16" ht="12.75" x14ac:dyDescent="0.2">
      <c r="C132" s="6"/>
      <c r="D132" s="55" t="s">
        <v>30</v>
      </c>
      <c r="E132" s="21" t="s">
        <v>285</v>
      </c>
      <c r="F132" s="22" t="s">
        <v>286</v>
      </c>
      <c r="G132" s="23">
        <f t="shared" si="0"/>
        <v>0</v>
      </c>
      <c r="H132" s="58">
        <f>SUM( H133+H138)</f>
        <v>0</v>
      </c>
      <c r="I132" s="58">
        <f>SUM( I133+I138)</f>
        <v>0</v>
      </c>
      <c r="J132" s="58">
        <f>SUM( J133+J138)</f>
        <v>0</v>
      </c>
      <c r="K132" s="58">
        <f>SUM( K133+K138)</f>
        <v>0</v>
      </c>
      <c r="L132" s="61"/>
      <c r="M132" s="24"/>
      <c r="P132" s="25">
        <v>850</v>
      </c>
    </row>
    <row r="133" spans="3:16" ht="12.75" x14ac:dyDescent="0.2">
      <c r="C133" s="6"/>
      <c r="D133" s="55" t="s">
        <v>287</v>
      </c>
      <c r="E133" s="26" t="s">
        <v>185</v>
      </c>
      <c r="F133" s="22" t="s">
        <v>288</v>
      </c>
      <c r="G133" s="23">
        <f t="shared" ref="G133:G146" si="1">SUM(H133:K133)</f>
        <v>0</v>
      </c>
      <c r="H133" s="58">
        <f>SUM( H134:H135)</f>
        <v>0</v>
      </c>
      <c r="I133" s="58">
        <f>SUM( I134:I135)</f>
        <v>0</v>
      </c>
      <c r="J133" s="58">
        <f>SUM( J134:J135)</f>
        <v>0</v>
      </c>
      <c r="K133" s="58">
        <f>SUM( K134:K135)</f>
        <v>0</v>
      </c>
      <c r="L133" s="61"/>
      <c r="M133" s="24"/>
      <c r="P133" s="25">
        <v>860</v>
      </c>
    </row>
    <row r="134" spans="3:16" ht="12.75" x14ac:dyDescent="0.2">
      <c r="C134" s="6"/>
      <c r="D134" s="55" t="s">
        <v>289</v>
      </c>
      <c r="E134" s="48" t="s">
        <v>206</v>
      </c>
      <c r="F134" s="22" t="s">
        <v>290</v>
      </c>
      <c r="G134" s="23">
        <f t="shared" si="1"/>
        <v>0</v>
      </c>
      <c r="H134" s="62"/>
      <c r="I134" s="62"/>
      <c r="J134" s="62"/>
      <c r="K134" s="62"/>
      <c r="L134" s="61"/>
      <c r="M134" s="24"/>
      <c r="P134" s="25"/>
    </row>
    <row r="135" spans="3:16" ht="12.75" x14ac:dyDescent="0.2">
      <c r="C135" s="6"/>
      <c r="D135" s="55" t="s">
        <v>291</v>
      </c>
      <c r="E135" s="48" t="s">
        <v>209</v>
      </c>
      <c r="F135" s="22" t="s">
        <v>292</v>
      </c>
      <c r="G135" s="23">
        <f t="shared" si="1"/>
        <v>0</v>
      </c>
      <c r="H135" s="58">
        <f>H136+H137</f>
        <v>0</v>
      </c>
      <c r="I135" s="58">
        <f>I136+I137</f>
        <v>0</v>
      </c>
      <c r="J135" s="58">
        <f>J136+J137</f>
        <v>0</v>
      </c>
      <c r="K135" s="58">
        <f>K136+K137</f>
        <v>0</v>
      </c>
      <c r="L135" s="61"/>
      <c r="M135" s="24"/>
      <c r="P135" s="25"/>
    </row>
    <row r="136" spans="3:16" ht="12.75" x14ac:dyDescent="0.2">
      <c r="C136" s="6"/>
      <c r="D136" s="55" t="s">
        <v>293</v>
      </c>
      <c r="E136" s="49" t="s">
        <v>215</v>
      </c>
      <c r="F136" s="22" t="s">
        <v>294</v>
      </c>
      <c r="G136" s="23">
        <f t="shared" si="1"/>
        <v>0</v>
      </c>
      <c r="H136" s="62"/>
      <c r="I136" s="62"/>
      <c r="J136" s="62"/>
      <c r="K136" s="62"/>
      <c r="L136" s="61"/>
      <c r="M136" s="24"/>
      <c r="P136" s="25"/>
    </row>
    <row r="137" spans="3:16" ht="12.75" x14ac:dyDescent="0.2">
      <c r="C137" s="6"/>
      <c r="D137" s="55" t="s">
        <v>295</v>
      </c>
      <c r="E137" s="49" t="s">
        <v>296</v>
      </c>
      <c r="F137" s="22" t="s">
        <v>297</v>
      </c>
      <c r="G137" s="23">
        <f t="shared" si="1"/>
        <v>0</v>
      </c>
      <c r="H137" s="62"/>
      <c r="I137" s="62"/>
      <c r="J137" s="62"/>
      <c r="K137" s="62"/>
      <c r="L137" s="61"/>
      <c r="M137" s="24"/>
      <c r="P137" s="25"/>
    </row>
    <row r="138" spans="3:16" ht="12.75" x14ac:dyDescent="0.2">
      <c r="C138" s="6"/>
      <c r="D138" s="55" t="s">
        <v>298</v>
      </c>
      <c r="E138" s="26" t="s">
        <v>247</v>
      </c>
      <c r="F138" s="22" t="s">
        <v>299</v>
      </c>
      <c r="G138" s="23">
        <f t="shared" si="1"/>
        <v>0</v>
      </c>
      <c r="H138" s="58">
        <f>H139+H141</f>
        <v>0</v>
      </c>
      <c r="I138" s="58">
        <f>I139+I141</f>
        <v>0</v>
      </c>
      <c r="J138" s="58">
        <f>J139+J141</f>
        <v>0</v>
      </c>
      <c r="K138" s="58">
        <f>K139+K141</f>
        <v>0</v>
      </c>
      <c r="L138" s="61"/>
      <c r="M138" s="24"/>
      <c r="P138" s="25">
        <v>870</v>
      </c>
    </row>
    <row r="139" spans="3:16" ht="12.75" x14ac:dyDescent="0.2">
      <c r="C139" s="6"/>
      <c r="D139" s="55" t="s">
        <v>300</v>
      </c>
      <c r="E139" s="48" t="s">
        <v>277</v>
      </c>
      <c r="F139" s="22" t="s">
        <v>301</v>
      </c>
      <c r="G139" s="23">
        <f t="shared" si="1"/>
        <v>0</v>
      </c>
      <c r="H139" s="56"/>
      <c r="I139" s="56"/>
      <c r="J139" s="56"/>
      <c r="K139" s="56"/>
      <c r="L139" s="61"/>
      <c r="M139" s="24"/>
      <c r="P139" s="25">
        <v>880</v>
      </c>
    </row>
    <row r="140" spans="3:16" ht="12.75" x14ac:dyDescent="0.2">
      <c r="C140" s="6"/>
      <c r="D140" s="55" t="s">
        <v>302</v>
      </c>
      <c r="E140" s="49" t="s">
        <v>280</v>
      </c>
      <c r="F140" s="22" t="s">
        <v>303</v>
      </c>
      <c r="G140" s="23">
        <f t="shared" si="1"/>
        <v>0</v>
      </c>
      <c r="H140" s="56"/>
      <c r="I140" s="56"/>
      <c r="J140" s="56"/>
      <c r="K140" s="56"/>
      <c r="L140" s="61"/>
      <c r="M140" s="24"/>
      <c r="P140" s="25"/>
    </row>
    <row r="141" spans="3:16" ht="12.75" x14ac:dyDescent="0.2">
      <c r="C141" s="6"/>
      <c r="D141" s="55" t="s">
        <v>304</v>
      </c>
      <c r="E141" s="48" t="s">
        <v>283</v>
      </c>
      <c r="F141" s="22" t="s">
        <v>305</v>
      </c>
      <c r="G141" s="23">
        <f t="shared" si="1"/>
        <v>0</v>
      </c>
      <c r="H141" s="63"/>
      <c r="I141" s="63"/>
      <c r="J141" s="63"/>
      <c r="K141" s="63"/>
      <c r="L141" s="61"/>
      <c r="M141" s="24"/>
      <c r="P141" s="25">
        <v>890</v>
      </c>
    </row>
    <row r="142" spans="3:16" ht="12.75" x14ac:dyDescent="0.2">
      <c r="C142" s="6"/>
      <c r="D142" s="55" t="s">
        <v>306</v>
      </c>
      <c r="E142" s="21" t="s">
        <v>307</v>
      </c>
      <c r="F142" s="22" t="s">
        <v>308</v>
      </c>
      <c r="G142" s="23">
        <f t="shared" si="1"/>
        <v>3533.9842719999997</v>
      </c>
      <c r="H142" s="64">
        <f>SUM( H143:H144)</f>
        <v>0</v>
      </c>
      <c r="I142" s="64">
        <f>SUM( I143:I144)</f>
        <v>0</v>
      </c>
      <c r="J142" s="64">
        <f>SUM( J143:J144)</f>
        <v>464.08107200000001</v>
      </c>
      <c r="K142" s="64">
        <f>SUM( K143:K144)</f>
        <v>3069.9031999999997</v>
      </c>
      <c r="L142" s="61"/>
      <c r="M142" s="24"/>
      <c r="P142" s="25">
        <v>900</v>
      </c>
    </row>
    <row r="143" spans="3:16" ht="12.75" x14ac:dyDescent="0.2">
      <c r="C143" s="6"/>
      <c r="D143" s="55" t="s">
        <v>309</v>
      </c>
      <c r="E143" s="26" t="s">
        <v>185</v>
      </c>
      <c r="F143" s="22" t="s">
        <v>310</v>
      </c>
      <c r="G143" s="23">
        <f t="shared" si="1"/>
        <v>3533.9842719999997</v>
      </c>
      <c r="H143" s="63"/>
      <c r="I143" s="63"/>
      <c r="J143" s="65">
        <f>J121*1.456</f>
        <v>464.08107200000001</v>
      </c>
      <c r="K143" s="65">
        <f>K121*1.456</f>
        <v>3069.9031999999997</v>
      </c>
      <c r="L143" s="61"/>
      <c r="M143" s="24"/>
      <c r="P143" s="25"/>
    </row>
    <row r="144" spans="3:16" ht="12.75" x14ac:dyDescent="0.2">
      <c r="C144" s="6"/>
      <c r="D144" s="55" t="s">
        <v>311</v>
      </c>
      <c r="E144" s="26" t="s">
        <v>188</v>
      </c>
      <c r="F144" s="22" t="s">
        <v>312</v>
      </c>
      <c r="G144" s="23">
        <f t="shared" si="1"/>
        <v>0</v>
      </c>
      <c r="H144" s="64">
        <f>H145+H146</f>
        <v>0</v>
      </c>
      <c r="I144" s="64">
        <f>I145+I146</f>
        <v>0</v>
      </c>
      <c r="J144" s="64">
        <f>J145+J146</f>
        <v>0</v>
      </c>
      <c r="K144" s="64">
        <f>K145+K146</f>
        <v>0</v>
      </c>
      <c r="L144" s="61"/>
      <c r="M144" s="24"/>
      <c r="P144" s="25"/>
    </row>
    <row r="145" spans="3:19" ht="12.75" x14ac:dyDescent="0.2">
      <c r="C145" s="6"/>
      <c r="D145" s="55" t="s">
        <v>313</v>
      </c>
      <c r="E145" s="48" t="s">
        <v>314</v>
      </c>
      <c r="F145" s="22" t="s">
        <v>315</v>
      </c>
      <c r="G145" s="23">
        <f t="shared" si="1"/>
        <v>0</v>
      </c>
      <c r="H145" s="63"/>
      <c r="I145" s="63"/>
      <c r="J145" s="63"/>
      <c r="K145" s="63"/>
      <c r="L145" s="61"/>
      <c r="M145" s="24"/>
      <c r="P145" s="25" t="s">
        <v>316</v>
      </c>
    </row>
    <row r="146" spans="3:19" ht="12.75" x14ac:dyDescent="0.2">
      <c r="C146" s="6"/>
      <c r="D146" s="55" t="s">
        <v>317</v>
      </c>
      <c r="E146" s="48" t="s">
        <v>283</v>
      </c>
      <c r="F146" s="22" t="s">
        <v>318</v>
      </c>
      <c r="G146" s="23">
        <f t="shared" si="1"/>
        <v>0</v>
      </c>
      <c r="H146" s="63"/>
      <c r="I146" s="63"/>
      <c r="J146" s="63"/>
      <c r="K146" s="66"/>
      <c r="L146" s="61"/>
      <c r="M146" s="24"/>
      <c r="P146" s="25" t="s">
        <v>319</v>
      </c>
    </row>
    <row r="147" spans="3:19" x14ac:dyDescent="0.25">
      <c r="D147" s="11"/>
      <c r="E147" s="67"/>
      <c r="F147" s="67"/>
      <c r="G147" s="67"/>
      <c r="H147" s="67"/>
      <c r="I147" s="67"/>
      <c r="J147" s="67"/>
      <c r="K147" s="68"/>
      <c r="L147" s="68"/>
      <c r="M147" s="68"/>
      <c r="N147" s="68"/>
      <c r="O147" s="68"/>
      <c r="P147" s="68"/>
      <c r="Q147" s="68"/>
      <c r="R147" s="69"/>
      <c r="S147" s="69"/>
    </row>
    <row r="148" spans="3:19" ht="12.75" x14ac:dyDescent="0.2">
      <c r="E148" s="24" t="s">
        <v>320</v>
      </c>
      <c r="F148" s="79" t="str">
        <f>IF([3]Титульный!G45="","",[3]Титульный!G45)</f>
        <v>Коммерческий директор</v>
      </c>
      <c r="G148" s="79"/>
      <c r="H148" s="70"/>
      <c r="I148" s="79" t="str">
        <f>IF([3]Титульный!G44="","",[3]Титульный!G44)</f>
        <v>Байков Алексей Александрович</v>
      </c>
      <c r="J148" s="79"/>
      <c r="K148" s="79"/>
      <c r="L148" s="70"/>
      <c r="M148" s="71"/>
      <c r="N148" s="71"/>
      <c r="O148" s="72"/>
      <c r="P148" s="68"/>
      <c r="Q148" s="68"/>
      <c r="R148" s="69"/>
      <c r="S148" s="69"/>
    </row>
    <row r="149" spans="3:19" ht="12.75" x14ac:dyDescent="0.2">
      <c r="E149" s="73" t="s">
        <v>321</v>
      </c>
      <c r="F149" s="78" t="s">
        <v>322</v>
      </c>
      <c r="G149" s="78"/>
      <c r="H149" s="72"/>
      <c r="I149" s="78" t="s">
        <v>323</v>
      </c>
      <c r="J149" s="78"/>
      <c r="K149" s="78"/>
      <c r="L149" s="72"/>
      <c r="M149" s="78" t="s">
        <v>324</v>
      </c>
      <c r="N149" s="78"/>
      <c r="O149" s="24"/>
      <c r="P149" s="68"/>
      <c r="Q149" s="68"/>
      <c r="R149" s="69"/>
      <c r="S149" s="69"/>
    </row>
    <row r="150" spans="3:19" ht="12.75" x14ac:dyDescent="0.2">
      <c r="E150" s="73" t="s">
        <v>325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68"/>
      <c r="Q150" s="68"/>
      <c r="R150" s="69"/>
      <c r="S150" s="69"/>
    </row>
    <row r="151" spans="3:19" ht="12.75" x14ac:dyDescent="0.2">
      <c r="E151" s="73" t="s">
        <v>326</v>
      </c>
      <c r="F151" s="79" t="str">
        <f>IF([3]Титульный!G46="","",[3]Титульный!G46)</f>
        <v>(495) 637 3220</v>
      </c>
      <c r="G151" s="79"/>
      <c r="H151" s="79"/>
      <c r="I151" s="24"/>
      <c r="J151" s="73" t="s">
        <v>327</v>
      </c>
      <c r="K151" s="74"/>
      <c r="L151" s="24"/>
      <c r="M151" s="24"/>
      <c r="N151" s="24"/>
      <c r="O151" s="24"/>
      <c r="P151" s="68"/>
      <c r="Q151" s="68"/>
      <c r="R151" s="69"/>
      <c r="S151" s="69"/>
    </row>
    <row r="152" spans="3:19" ht="12.75" x14ac:dyDescent="0.2">
      <c r="E152" s="24" t="s">
        <v>328</v>
      </c>
      <c r="F152" s="80" t="s">
        <v>329</v>
      </c>
      <c r="G152" s="80"/>
      <c r="H152" s="80"/>
      <c r="I152" s="24"/>
      <c r="J152" s="75" t="s">
        <v>330</v>
      </c>
      <c r="K152" s="75"/>
      <c r="L152" s="24"/>
      <c r="M152" s="24"/>
      <c r="N152" s="24"/>
      <c r="O152" s="24"/>
      <c r="P152" s="68"/>
      <c r="Q152" s="68"/>
      <c r="R152" s="69"/>
      <c r="S152" s="69"/>
    </row>
    <row r="153" spans="3:19" x14ac:dyDescent="0.25"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9"/>
      <c r="S153" s="69"/>
    </row>
    <row r="154" spans="3:19" x14ac:dyDescent="0.25"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9"/>
      <c r="S154" s="69"/>
    </row>
    <row r="155" spans="3:19" x14ac:dyDescent="0.25"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9"/>
      <c r="S155" s="69"/>
    </row>
    <row r="156" spans="3:19" x14ac:dyDescent="0.25"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9"/>
      <c r="S156" s="69"/>
    </row>
    <row r="157" spans="3:19" x14ac:dyDescent="0.25"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9"/>
      <c r="S157" s="69"/>
    </row>
    <row r="158" spans="3:19" x14ac:dyDescent="0.25"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9"/>
      <c r="S158" s="69"/>
    </row>
    <row r="159" spans="3:19" x14ac:dyDescent="0.25"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  <c r="S159" s="69"/>
    </row>
    <row r="160" spans="3:19" x14ac:dyDescent="0.25"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9"/>
      <c r="S160" s="69"/>
    </row>
    <row r="161" spans="5:19" x14ac:dyDescent="0.25"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9"/>
      <c r="S161" s="69"/>
    </row>
    <row r="162" spans="5:19" x14ac:dyDescent="0.25"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9"/>
      <c r="S162" s="69"/>
    </row>
    <row r="163" spans="5:19" x14ac:dyDescent="0.25"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9"/>
      <c r="S163" s="69"/>
    </row>
    <row r="164" spans="5:19" x14ac:dyDescent="0.25"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9"/>
      <c r="S164" s="69"/>
    </row>
    <row r="165" spans="5:19" x14ac:dyDescent="0.25"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9"/>
      <c r="S165" s="69"/>
    </row>
    <row r="166" spans="5:19" x14ac:dyDescent="0.25"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9"/>
      <c r="S166" s="69"/>
    </row>
    <row r="167" spans="5:19" x14ac:dyDescent="0.25"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9"/>
      <c r="S167" s="69"/>
    </row>
    <row r="168" spans="5:19" x14ac:dyDescent="0.25"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9"/>
      <c r="S168" s="69"/>
    </row>
    <row r="169" spans="5:19" x14ac:dyDescent="0.25"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9"/>
      <c r="S169" s="69"/>
    </row>
    <row r="170" spans="5:19" x14ac:dyDescent="0.25"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9"/>
      <c r="S170" s="69"/>
    </row>
    <row r="171" spans="5:19" x14ac:dyDescent="0.25"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9"/>
      <c r="S171" s="69"/>
    </row>
    <row r="172" spans="5:19" x14ac:dyDescent="0.25"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9"/>
      <c r="S172" s="69"/>
    </row>
    <row r="173" spans="5:19" x14ac:dyDescent="0.25"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9"/>
      <c r="S173" s="69"/>
    </row>
    <row r="174" spans="5:19" x14ac:dyDescent="0.25"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9"/>
      <c r="S174" s="69"/>
    </row>
    <row r="175" spans="5:19" x14ac:dyDescent="0.25"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9"/>
      <c r="S175" s="69"/>
    </row>
    <row r="176" spans="5:19" x14ac:dyDescent="0.25"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9"/>
      <c r="S176" s="69"/>
    </row>
    <row r="177" spans="5:19" x14ac:dyDescent="0.25"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9"/>
      <c r="S177" s="69"/>
    </row>
    <row r="178" spans="5:19" x14ac:dyDescent="0.25"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</row>
    <row r="179" spans="5:19" x14ac:dyDescent="0.25"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5:19" x14ac:dyDescent="0.25"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5:19" x14ac:dyDescent="0.25"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</sheetData>
  <mergeCells count="18">
    <mergeCell ref="F148:G148"/>
    <mergeCell ref="I148:K148"/>
    <mergeCell ref="D8:E8"/>
    <mergeCell ref="D11:D12"/>
    <mergeCell ref="E11:E12"/>
    <mergeCell ref="F11:F12"/>
    <mergeCell ref="G11:G12"/>
    <mergeCell ref="H11:K11"/>
    <mergeCell ref="D14:K14"/>
    <mergeCell ref="D51:K51"/>
    <mergeCell ref="D88:K88"/>
    <mergeCell ref="D92:K92"/>
    <mergeCell ref="D125:K125"/>
    <mergeCell ref="F149:G149"/>
    <mergeCell ref="I149:K149"/>
    <mergeCell ref="M149:N149"/>
    <mergeCell ref="F151:H151"/>
    <mergeCell ref="F152:H152"/>
  </mergeCells>
  <dataValidations count="2">
    <dataValidation allowBlank="1" showInputMessage="1" promptTitle="Ввод" prompt="Для выбора организации необходимо два раза нажать левую клавишу мыши!" sqref="E25 E62"/>
    <dataValidation type="decimal" allowBlank="1" showErrorMessage="1" errorTitle="Ошибка" error="Допускается ввод только действительных чисел!" sqref="G27:K40 G89:K91 G93:K124 G52:K55 G23:K25 G79:K87 G20:K21 G64:K77 G42:K50 G15:K18 G126:K146 G57:K58 G60:K6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Y181"/>
  <sheetViews>
    <sheetView view="pageBreakPreview" topLeftCell="C7" zoomScaleNormal="100" zoomScaleSheetLayoutView="100" workbookViewId="0">
      <selection activeCell="K8" sqref="K8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idden="1" x14ac:dyDescent="0.25">
      <c r="S1" s="2"/>
      <c r="T1" s="2"/>
      <c r="U1" s="2"/>
      <c r="V1" s="2"/>
      <c r="Y1" s="2"/>
      <c r="AN1" s="2"/>
      <c r="AO1" s="2"/>
      <c r="AP1" s="2"/>
      <c r="BC1" s="2"/>
      <c r="BF1" s="2"/>
      <c r="BI1" s="2"/>
      <c r="BJ1" s="2"/>
      <c r="BX1" s="2"/>
      <c r="BY1" s="2"/>
    </row>
    <row r="2" spans="1:77" hidden="1" x14ac:dyDescent="0.25"/>
    <row r="3" spans="1:77" hidden="1" x14ac:dyDescent="0.25"/>
    <row r="4" spans="1:77" hidden="1" x14ac:dyDescent="0.2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idden="1" x14ac:dyDescent="0.2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idden="1" x14ac:dyDescent="0.25">
      <c r="A6" s="5"/>
    </row>
    <row r="7" spans="1:77" ht="12" customHeight="1" x14ac:dyDescent="0.25">
      <c r="A7" s="5"/>
      <c r="D7" s="6"/>
      <c r="E7" s="6"/>
      <c r="F7" s="6"/>
      <c r="G7" s="6"/>
      <c r="H7" s="6"/>
      <c r="I7" s="6"/>
      <c r="J7" s="6"/>
      <c r="K7" s="91" t="s">
        <v>333</v>
      </c>
      <c r="Q7" s="8"/>
    </row>
    <row r="8" spans="1:77" ht="22.5" customHeight="1" x14ac:dyDescent="0.25">
      <c r="A8" s="5"/>
      <c r="D8" s="81" t="s">
        <v>11</v>
      </c>
      <c r="E8" s="8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77" x14ac:dyDescent="0.25">
      <c r="A9" s="5"/>
      <c r="D9" s="10" t="str">
        <f>IF(org="","Не определено",org)</f>
        <v>ЗАО "Коттон Вэй"</v>
      </c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77" ht="12" customHeight="1" x14ac:dyDescent="0.25">
      <c r="D10" s="11"/>
      <c r="E10" s="11"/>
      <c r="F10" s="6"/>
      <c r="G10" s="6"/>
      <c r="H10" s="6"/>
      <c r="I10" s="6"/>
      <c r="K10" s="12" t="s">
        <v>12</v>
      </c>
    </row>
    <row r="11" spans="1:77" ht="15" customHeight="1" x14ac:dyDescent="0.25">
      <c r="C11" s="6"/>
      <c r="D11" s="82" t="s">
        <v>13</v>
      </c>
      <c r="E11" s="84" t="s">
        <v>14</v>
      </c>
      <c r="F11" s="84" t="s">
        <v>15</v>
      </c>
      <c r="G11" s="84" t="s">
        <v>16</v>
      </c>
      <c r="H11" s="84" t="s">
        <v>17</v>
      </c>
      <c r="I11" s="84"/>
      <c r="J11" s="84"/>
      <c r="K11" s="86"/>
      <c r="L11" s="13"/>
    </row>
    <row r="12" spans="1:77" ht="15" customHeight="1" x14ac:dyDescent="0.25">
      <c r="C12" s="6"/>
      <c r="D12" s="83"/>
      <c r="E12" s="85"/>
      <c r="F12" s="85"/>
      <c r="G12" s="85"/>
      <c r="H12" s="14" t="s">
        <v>18</v>
      </c>
      <c r="I12" s="14" t="s">
        <v>19</v>
      </c>
      <c r="J12" s="14" t="s">
        <v>20</v>
      </c>
      <c r="K12" s="15" t="s">
        <v>21</v>
      </c>
      <c r="L12" s="13"/>
    </row>
    <row r="13" spans="1:77" ht="12" customHeight="1" x14ac:dyDescent="0.25">
      <c r="D13" s="16">
        <v>0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</row>
    <row r="14" spans="1:77" s="17" customFormat="1" ht="15" customHeight="1" x14ac:dyDescent="0.25">
      <c r="C14" s="18"/>
      <c r="D14" s="87" t="s">
        <v>22</v>
      </c>
      <c r="E14" s="88"/>
      <c r="F14" s="88"/>
      <c r="G14" s="88"/>
      <c r="H14" s="88"/>
      <c r="I14" s="88"/>
      <c r="J14" s="88"/>
      <c r="K14" s="89"/>
      <c r="L14" s="19"/>
    </row>
    <row r="15" spans="1:77" s="17" customFormat="1" ht="15" customHeight="1" x14ac:dyDescent="0.2">
      <c r="C15" s="18"/>
      <c r="D15" s="20" t="s">
        <v>23</v>
      </c>
      <c r="E15" s="21" t="s">
        <v>24</v>
      </c>
      <c r="F15" s="22">
        <v>10</v>
      </c>
      <c r="G15" s="23">
        <f>SUM(H15:K15)</f>
        <v>2423.317</v>
      </c>
      <c r="H15" s="23">
        <f>H16+H17+H20+H23</f>
        <v>1875.42</v>
      </c>
      <c r="I15" s="23">
        <f>I16+I17+I20+I23</f>
        <v>0</v>
      </c>
      <c r="J15" s="23">
        <f>J16+J17+J20+J23</f>
        <v>547.89700000000005</v>
      </c>
      <c r="K15" s="23">
        <f>K16+K17+K20+K23</f>
        <v>0</v>
      </c>
      <c r="L15" s="19"/>
      <c r="M15" s="24"/>
      <c r="P15" s="25">
        <v>10</v>
      </c>
    </row>
    <row r="16" spans="1:77" s="17" customFormat="1" ht="15" customHeight="1" x14ac:dyDescent="0.2">
      <c r="C16" s="18"/>
      <c r="D16" s="20" t="s">
        <v>25</v>
      </c>
      <c r="E16" s="26" t="s">
        <v>26</v>
      </c>
      <c r="F16" s="22">
        <v>20</v>
      </c>
      <c r="G16" s="23">
        <f t="shared" ref="G16:G132" si="0">SUM(H16:K16)</f>
        <v>0</v>
      </c>
      <c r="H16" s="27"/>
      <c r="I16" s="27"/>
      <c r="J16" s="27"/>
      <c r="K16" s="27"/>
      <c r="L16" s="19"/>
      <c r="M16" s="24"/>
      <c r="P16" s="25">
        <v>20</v>
      </c>
    </row>
    <row r="17" spans="3:16" s="17" customFormat="1" ht="12.75" x14ac:dyDescent="0.2">
      <c r="C17" s="18"/>
      <c r="D17" s="20" t="s">
        <v>27</v>
      </c>
      <c r="E17" s="26" t="s">
        <v>28</v>
      </c>
      <c r="F17" s="22">
        <v>30</v>
      </c>
      <c r="G17" s="23">
        <f t="shared" si="0"/>
        <v>0</v>
      </c>
      <c r="H17" s="23">
        <f>SUM(H18:H19)</f>
        <v>0</v>
      </c>
      <c r="I17" s="23">
        <f>SUM(I18:I19)</f>
        <v>0</v>
      </c>
      <c r="J17" s="23">
        <f>SUM(J18:J19)</f>
        <v>0</v>
      </c>
      <c r="K17" s="23">
        <f>SUM(K18:K19)</f>
        <v>0</v>
      </c>
      <c r="L17" s="19"/>
      <c r="M17" s="24"/>
      <c r="P17" s="25">
        <v>30</v>
      </c>
    </row>
    <row r="18" spans="3:16" s="17" customFormat="1" ht="12.75" x14ac:dyDescent="0.2">
      <c r="C18" s="18"/>
      <c r="D18" s="28" t="s">
        <v>29</v>
      </c>
      <c r="E18" s="29"/>
      <c r="F18" s="30" t="s">
        <v>30</v>
      </c>
      <c r="G18" s="31"/>
      <c r="H18" s="31"/>
      <c r="I18" s="31"/>
      <c r="J18" s="31"/>
      <c r="K18" s="31"/>
      <c r="L18" s="19"/>
      <c r="M18" s="24"/>
      <c r="P18" s="25"/>
    </row>
    <row r="19" spans="3:16" s="17" customFormat="1" ht="12.75" x14ac:dyDescent="0.2">
      <c r="C19" s="18"/>
      <c r="D19" s="32"/>
      <c r="E19" s="33" t="s">
        <v>31</v>
      </c>
      <c r="F19" s="34"/>
      <c r="G19" s="34"/>
      <c r="H19" s="34"/>
      <c r="I19" s="34"/>
      <c r="J19" s="34"/>
      <c r="K19" s="35"/>
      <c r="L19" s="19"/>
      <c r="M19" s="24"/>
      <c r="P19" s="36"/>
    </row>
    <row r="20" spans="3:16" s="17" customFormat="1" ht="12.75" x14ac:dyDescent="0.2">
      <c r="C20" s="18"/>
      <c r="D20" s="20" t="s">
        <v>32</v>
      </c>
      <c r="E20" s="26" t="s">
        <v>33</v>
      </c>
      <c r="F20" s="22" t="s">
        <v>34</v>
      </c>
      <c r="G20" s="23">
        <f t="shared" si="0"/>
        <v>0</v>
      </c>
      <c r="H20" s="23">
        <f>SUM(H21:H22)</f>
        <v>0</v>
      </c>
      <c r="I20" s="23">
        <f>SUM(I21:I22)</f>
        <v>0</v>
      </c>
      <c r="J20" s="23">
        <f>SUM(J21:J22)</f>
        <v>0</v>
      </c>
      <c r="K20" s="23">
        <f>SUM(K21:K22)</f>
        <v>0</v>
      </c>
      <c r="L20" s="19"/>
      <c r="M20" s="24"/>
      <c r="P20" s="36"/>
    </row>
    <row r="21" spans="3:16" s="17" customFormat="1" ht="12.75" x14ac:dyDescent="0.2">
      <c r="C21" s="18"/>
      <c r="D21" s="28" t="s">
        <v>35</v>
      </c>
      <c r="E21" s="29"/>
      <c r="F21" s="30" t="s">
        <v>34</v>
      </c>
      <c r="G21" s="31"/>
      <c r="H21" s="31"/>
      <c r="I21" s="31"/>
      <c r="J21" s="31"/>
      <c r="K21" s="31"/>
      <c r="L21" s="19"/>
      <c r="M21" s="24"/>
      <c r="P21" s="25"/>
    </row>
    <row r="22" spans="3:16" s="17" customFormat="1" ht="12.75" x14ac:dyDescent="0.2">
      <c r="C22" s="18"/>
      <c r="D22" s="32"/>
      <c r="E22" s="33" t="s">
        <v>31</v>
      </c>
      <c r="F22" s="34"/>
      <c r="G22" s="34"/>
      <c r="H22" s="34"/>
      <c r="I22" s="34"/>
      <c r="J22" s="34"/>
      <c r="K22" s="35"/>
      <c r="L22" s="19"/>
      <c r="M22" s="24"/>
      <c r="P22" s="36"/>
    </row>
    <row r="23" spans="3:16" s="17" customFormat="1" ht="12.75" x14ac:dyDescent="0.2">
      <c r="C23" s="18"/>
      <c r="D23" s="20" t="s">
        <v>36</v>
      </c>
      <c r="E23" s="26" t="s">
        <v>37</v>
      </c>
      <c r="F23" s="22" t="s">
        <v>38</v>
      </c>
      <c r="G23" s="23">
        <f t="shared" si="0"/>
        <v>2423.317</v>
      </c>
      <c r="H23" s="23">
        <f>SUM(H24:H26)</f>
        <v>1875.42</v>
      </c>
      <c r="I23" s="23">
        <f>SUM(I24:I26)</f>
        <v>0</v>
      </c>
      <c r="J23" s="23">
        <f>SUM(J24:J26)</f>
        <v>547.89700000000005</v>
      </c>
      <c r="K23" s="23">
        <f>SUM(K24:K26)</f>
        <v>0</v>
      </c>
      <c r="L23" s="19"/>
      <c r="M23" s="24"/>
      <c r="P23" s="25">
        <v>40</v>
      </c>
    </row>
    <row r="24" spans="3:16" s="17" customFormat="1" ht="12.75" x14ac:dyDescent="0.2">
      <c r="C24" s="18"/>
      <c r="D24" s="28" t="s">
        <v>39</v>
      </c>
      <c r="E24" s="29"/>
      <c r="F24" s="30" t="s">
        <v>38</v>
      </c>
      <c r="G24" s="31"/>
      <c r="H24" s="31"/>
      <c r="I24" s="31"/>
      <c r="J24" s="31"/>
      <c r="K24" s="31"/>
      <c r="L24" s="19"/>
      <c r="M24" s="24"/>
      <c r="P24" s="25"/>
    </row>
    <row r="25" spans="3:16" s="17" customFormat="1" ht="15" x14ac:dyDescent="0.25">
      <c r="C25" s="37" t="s">
        <v>40</v>
      </c>
      <c r="D25" s="38" t="s">
        <v>41</v>
      </c>
      <c r="E25" s="39" t="s">
        <v>42</v>
      </c>
      <c r="F25" s="40">
        <v>431</v>
      </c>
      <c r="G25" s="41">
        <f>SUM(H25:K25)</f>
        <v>2423.317</v>
      </c>
      <c r="H25" s="42">
        <v>1875.42</v>
      </c>
      <c r="I25" s="42">
        <v>0</v>
      </c>
      <c r="J25" s="42">
        <v>547.89700000000005</v>
      </c>
      <c r="K25" s="42">
        <v>0</v>
      </c>
      <c r="L25" s="19"/>
      <c r="M25" s="43" t="s">
        <v>43</v>
      </c>
      <c r="N25" s="44" t="s">
        <v>44</v>
      </c>
      <c r="O25" s="44" t="s">
        <v>45</v>
      </c>
    </row>
    <row r="26" spans="3:16" s="17" customFormat="1" ht="12.75" x14ac:dyDescent="0.2">
      <c r="C26" s="18"/>
      <c r="D26" s="32"/>
      <c r="E26" s="33" t="s">
        <v>31</v>
      </c>
      <c r="F26" s="34"/>
      <c r="G26" s="34"/>
      <c r="H26" s="34"/>
      <c r="I26" s="34"/>
      <c r="J26" s="34"/>
      <c r="K26" s="35"/>
      <c r="L26" s="19"/>
      <c r="M26" s="24"/>
      <c r="P26" s="25"/>
    </row>
    <row r="27" spans="3:16" s="17" customFormat="1" ht="12.75" x14ac:dyDescent="0.2">
      <c r="C27" s="18"/>
      <c r="D27" s="20" t="s">
        <v>46</v>
      </c>
      <c r="E27" s="21" t="s">
        <v>47</v>
      </c>
      <c r="F27" s="22" t="s">
        <v>48</v>
      </c>
      <c r="G27" s="23">
        <f t="shared" si="0"/>
        <v>4136.982</v>
      </c>
      <c r="H27" s="23">
        <f>H29+H30+H31</f>
        <v>0</v>
      </c>
      <c r="I27" s="23">
        <f>I28+I30+I31</f>
        <v>0</v>
      </c>
      <c r="J27" s="23">
        <f>J28+J29+J31</f>
        <v>1875.42</v>
      </c>
      <c r="K27" s="23">
        <f>K28+K29+K30</f>
        <v>2261.5619999999999</v>
      </c>
      <c r="L27" s="19"/>
      <c r="M27" s="24"/>
      <c r="P27" s="25">
        <v>50</v>
      </c>
    </row>
    <row r="28" spans="3:16" s="17" customFormat="1" ht="12.75" x14ac:dyDescent="0.2">
      <c r="C28" s="18"/>
      <c r="D28" s="20" t="s">
        <v>49</v>
      </c>
      <c r="E28" s="26" t="s">
        <v>18</v>
      </c>
      <c r="F28" s="22" t="s">
        <v>50</v>
      </c>
      <c r="G28" s="23">
        <f t="shared" si="0"/>
        <v>1875.42</v>
      </c>
      <c r="H28" s="45"/>
      <c r="I28" s="27"/>
      <c r="J28" s="27">
        <f>H25</f>
        <v>1875.42</v>
      </c>
      <c r="K28" s="27"/>
      <c r="L28" s="19"/>
      <c r="M28" s="24"/>
      <c r="P28" s="25">
        <v>60</v>
      </c>
    </row>
    <row r="29" spans="3:16" s="17" customFormat="1" ht="12.75" x14ac:dyDescent="0.2">
      <c r="C29" s="18"/>
      <c r="D29" s="20" t="s">
        <v>51</v>
      </c>
      <c r="E29" s="26" t="s">
        <v>19</v>
      </c>
      <c r="F29" s="22" t="s">
        <v>52</v>
      </c>
      <c r="G29" s="23">
        <f t="shared" si="0"/>
        <v>0</v>
      </c>
      <c r="H29" s="27"/>
      <c r="I29" s="45"/>
      <c r="J29" s="27"/>
      <c r="K29" s="27"/>
      <c r="L29" s="19"/>
      <c r="M29" s="24"/>
      <c r="P29" s="25">
        <v>70</v>
      </c>
    </row>
    <row r="30" spans="3:16" s="17" customFormat="1" ht="12.75" x14ac:dyDescent="0.2">
      <c r="C30" s="18"/>
      <c r="D30" s="20" t="s">
        <v>53</v>
      </c>
      <c r="E30" s="26" t="s">
        <v>20</v>
      </c>
      <c r="F30" s="22" t="s">
        <v>54</v>
      </c>
      <c r="G30" s="23">
        <f t="shared" si="0"/>
        <v>2261.5619999999999</v>
      </c>
      <c r="H30" s="27"/>
      <c r="I30" s="27"/>
      <c r="J30" s="45"/>
      <c r="K30" s="27">
        <f>H25+J25-J36-J46</f>
        <v>2261.5619999999999</v>
      </c>
      <c r="L30" s="19"/>
      <c r="M30" s="24"/>
      <c r="P30" s="25">
        <v>80</v>
      </c>
    </row>
    <row r="31" spans="3:16" s="17" customFormat="1" ht="12.75" x14ac:dyDescent="0.2">
      <c r="C31" s="18"/>
      <c r="D31" s="20" t="s">
        <v>55</v>
      </c>
      <c r="E31" s="26" t="s">
        <v>56</v>
      </c>
      <c r="F31" s="22" t="s">
        <v>57</v>
      </c>
      <c r="G31" s="23">
        <f t="shared" si="0"/>
        <v>0</v>
      </c>
      <c r="H31" s="27"/>
      <c r="I31" s="27"/>
      <c r="J31" s="27"/>
      <c r="K31" s="45"/>
      <c r="L31" s="19"/>
      <c r="M31" s="24"/>
      <c r="P31" s="25">
        <v>90</v>
      </c>
    </row>
    <row r="32" spans="3:16" s="17" customFormat="1" ht="12.75" x14ac:dyDescent="0.2">
      <c r="C32" s="18"/>
      <c r="D32" s="20" t="s">
        <v>58</v>
      </c>
      <c r="E32" s="46" t="s">
        <v>59</v>
      </c>
      <c r="F32" s="22" t="s">
        <v>60</v>
      </c>
      <c r="G32" s="23">
        <f t="shared" si="0"/>
        <v>0</v>
      </c>
      <c r="H32" s="27"/>
      <c r="I32" s="27"/>
      <c r="J32" s="27"/>
      <c r="K32" s="27"/>
      <c r="L32" s="19"/>
      <c r="M32" s="24"/>
      <c r="P32" s="25"/>
    </row>
    <row r="33" spans="3:16" s="17" customFormat="1" ht="12.75" x14ac:dyDescent="0.2">
      <c r="C33" s="18"/>
      <c r="D33" s="20" t="s">
        <v>61</v>
      </c>
      <c r="E33" s="21" t="s">
        <v>62</v>
      </c>
      <c r="F33" s="47" t="s">
        <v>63</v>
      </c>
      <c r="G33" s="23">
        <f t="shared" si="0"/>
        <v>2402.4680000000003</v>
      </c>
      <c r="H33" s="23">
        <f>H34+H36+H39+H42</f>
        <v>0</v>
      </c>
      <c r="I33" s="23">
        <f>I34+I36+I39+I42</f>
        <v>0</v>
      </c>
      <c r="J33" s="23">
        <f>J34+J36+J39+J42</f>
        <v>161.755</v>
      </c>
      <c r="K33" s="23">
        <f>K34+K36+K39+K42</f>
        <v>2240.7130000000002</v>
      </c>
      <c r="L33" s="19"/>
      <c r="M33" s="24"/>
      <c r="P33" s="25">
        <v>100</v>
      </c>
    </row>
    <row r="34" spans="3:16" s="17" customFormat="1" ht="22.5" x14ac:dyDescent="0.2">
      <c r="C34" s="18"/>
      <c r="D34" s="20" t="s">
        <v>64</v>
      </c>
      <c r="E34" s="26" t="s">
        <v>65</v>
      </c>
      <c r="F34" s="22" t="s">
        <v>66</v>
      </c>
      <c r="G34" s="23">
        <f t="shared" si="0"/>
        <v>0</v>
      </c>
      <c r="H34" s="27"/>
      <c r="I34" s="27"/>
      <c r="J34" s="27"/>
      <c r="K34" s="27"/>
      <c r="L34" s="19"/>
      <c r="M34" s="24"/>
      <c r="P34" s="25"/>
    </row>
    <row r="35" spans="3:16" s="17" customFormat="1" ht="12.75" x14ac:dyDescent="0.2">
      <c r="C35" s="18"/>
      <c r="D35" s="20" t="s">
        <v>67</v>
      </c>
      <c r="E35" s="48" t="s">
        <v>68</v>
      </c>
      <c r="F35" s="22" t="s">
        <v>69</v>
      </c>
      <c r="G35" s="23">
        <f t="shared" si="0"/>
        <v>0</v>
      </c>
      <c r="H35" s="27"/>
      <c r="I35" s="27"/>
      <c r="J35" s="27"/>
      <c r="K35" s="27"/>
      <c r="L35" s="19"/>
      <c r="M35" s="24"/>
      <c r="P35" s="25"/>
    </row>
    <row r="36" spans="3:16" s="17" customFormat="1" ht="12.75" x14ac:dyDescent="0.2">
      <c r="C36" s="18"/>
      <c r="D36" s="20" t="s">
        <v>70</v>
      </c>
      <c r="E36" s="26" t="s">
        <v>71</v>
      </c>
      <c r="F36" s="22" t="s">
        <v>72</v>
      </c>
      <c r="G36" s="23">
        <f t="shared" si="0"/>
        <v>2402.4680000000003</v>
      </c>
      <c r="H36" s="27">
        <v>0</v>
      </c>
      <c r="I36" s="27">
        <v>0</v>
      </c>
      <c r="J36" s="27">
        <v>161.755</v>
      </c>
      <c r="K36" s="27">
        <v>2240.7130000000002</v>
      </c>
      <c r="L36" s="19"/>
      <c r="M36" s="24"/>
      <c r="P36" s="25"/>
    </row>
    <row r="37" spans="3:16" s="17" customFormat="1" ht="12.75" x14ac:dyDescent="0.2">
      <c r="C37" s="18"/>
      <c r="D37" s="20" t="s">
        <v>73</v>
      </c>
      <c r="E37" s="48" t="s">
        <v>74</v>
      </c>
      <c r="F37" s="22" t="s">
        <v>75</v>
      </c>
      <c r="G37" s="23">
        <f t="shared" si="0"/>
        <v>0</v>
      </c>
      <c r="H37" s="27"/>
      <c r="I37" s="27"/>
      <c r="J37" s="27"/>
      <c r="K37" s="27"/>
      <c r="L37" s="19"/>
      <c r="M37" s="24"/>
      <c r="P37" s="25"/>
    </row>
    <row r="38" spans="3:16" s="17" customFormat="1" ht="12.75" x14ac:dyDescent="0.2">
      <c r="C38" s="18"/>
      <c r="D38" s="20" t="s">
        <v>76</v>
      </c>
      <c r="E38" s="49" t="s">
        <v>68</v>
      </c>
      <c r="F38" s="22" t="s">
        <v>77</v>
      </c>
      <c r="G38" s="23">
        <f t="shared" si="0"/>
        <v>0</v>
      </c>
      <c r="H38" s="27"/>
      <c r="I38" s="27"/>
      <c r="J38" s="27"/>
      <c r="K38" s="27"/>
      <c r="L38" s="19"/>
      <c r="M38" s="24"/>
      <c r="P38" s="25"/>
    </row>
    <row r="39" spans="3:16" s="17" customFormat="1" ht="12.75" x14ac:dyDescent="0.2">
      <c r="C39" s="18"/>
      <c r="D39" s="20" t="s">
        <v>78</v>
      </c>
      <c r="E39" s="26" t="s">
        <v>79</v>
      </c>
      <c r="F39" s="22" t="s">
        <v>80</v>
      </c>
      <c r="G39" s="23">
        <f t="shared" si="0"/>
        <v>0</v>
      </c>
      <c r="H39" s="23">
        <f>SUM(H40:H41)</f>
        <v>0</v>
      </c>
      <c r="I39" s="23">
        <f>SUM(I40:I41)</f>
        <v>0</v>
      </c>
      <c r="J39" s="23">
        <f>SUM(J40:J41)</f>
        <v>0</v>
      </c>
      <c r="K39" s="23">
        <f>SUM(K40:K41)</f>
        <v>0</v>
      </c>
      <c r="L39" s="19"/>
      <c r="M39" s="24"/>
      <c r="P39" s="25"/>
    </row>
    <row r="40" spans="3:16" s="17" customFormat="1" ht="12.75" x14ac:dyDescent="0.2">
      <c r="C40" s="18"/>
      <c r="D40" s="28" t="s">
        <v>81</v>
      </c>
      <c r="E40" s="29"/>
      <c r="F40" s="30" t="s">
        <v>80</v>
      </c>
      <c r="G40" s="31"/>
      <c r="H40" s="31"/>
      <c r="I40" s="31"/>
      <c r="J40" s="31"/>
      <c r="K40" s="31"/>
      <c r="L40" s="19"/>
      <c r="M40" s="24"/>
      <c r="P40" s="25"/>
    </row>
    <row r="41" spans="3:16" s="17" customFormat="1" ht="12.75" x14ac:dyDescent="0.2">
      <c r="C41" s="18"/>
      <c r="D41" s="50"/>
      <c r="E41" s="33" t="s">
        <v>31</v>
      </c>
      <c r="F41" s="34"/>
      <c r="G41" s="34"/>
      <c r="H41" s="34"/>
      <c r="I41" s="34"/>
      <c r="J41" s="34"/>
      <c r="K41" s="35"/>
      <c r="L41" s="19"/>
      <c r="M41" s="24"/>
      <c r="P41" s="25"/>
    </row>
    <row r="42" spans="3:16" s="17" customFormat="1" ht="12.75" x14ac:dyDescent="0.2">
      <c r="C42" s="18"/>
      <c r="D42" s="20" t="s">
        <v>82</v>
      </c>
      <c r="E42" s="51" t="s">
        <v>83</v>
      </c>
      <c r="F42" s="22" t="s">
        <v>84</v>
      </c>
      <c r="G42" s="23">
        <f t="shared" si="0"/>
        <v>0</v>
      </c>
      <c r="H42" s="27"/>
      <c r="I42" s="27"/>
      <c r="J42" s="27"/>
      <c r="K42" s="27"/>
      <c r="L42" s="19"/>
      <c r="M42" s="24"/>
      <c r="P42" s="25">
        <v>120</v>
      </c>
    </row>
    <row r="43" spans="3:16" s="17" customFormat="1" ht="12.75" x14ac:dyDescent="0.2">
      <c r="C43" s="18"/>
      <c r="D43" s="20" t="s">
        <v>85</v>
      </c>
      <c r="E43" s="21" t="s">
        <v>86</v>
      </c>
      <c r="F43" s="22" t="s">
        <v>87</v>
      </c>
      <c r="G43" s="23">
        <f t="shared" si="0"/>
        <v>4136.982</v>
      </c>
      <c r="H43" s="27">
        <f>J28</f>
        <v>1875.42</v>
      </c>
      <c r="I43" s="27"/>
      <c r="J43" s="27">
        <f>K30</f>
        <v>2261.5619999999999</v>
      </c>
      <c r="K43" s="27"/>
      <c r="L43" s="19"/>
      <c r="M43" s="24"/>
      <c r="P43" s="25">
        <v>150</v>
      </c>
    </row>
    <row r="44" spans="3:16" s="17" customFormat="1" ht="12.75" x14ac:dyDescent="0.2">
      <c r="C44" s="18"/>
      <c r="D44" s="20" t="s">
        <v>88</v>
      </c>
      <c r="E44" s="21" t="s">
        <v>89</v>
      </c>
      <c r="F44" s="22" t="s">
        <v>90</v>
      </c>
      <c r="G44" s="23">
        <f t="shared" si="0"/>
        <v>0</v>
      </c>
      <c r="H44" s="27"/>
      <c r="I44" s="27"/>
      <c r="J44" s="27"/>
      <c r="K44" s="27"/>
      <c r="L44" s="19"/>
      <c r="M44" s="24"/>
      <c r="P44" s="25">
        <v>160</v>
      </c>
    </row>
    <row r="45" spans="3:16" s="17" customFormat="1" ht="12.75" x14ac:dyDescent="0.2">
      <c r="C45" s="18"/>
      <c r="D45" s="20" t="s">
        <v>91</v>
      </c>
      <c r="E45" s="21" t="s">
        <v>92</v>
      </c>
      <c r="F45" s="22" t="s">
        <v>93</v>
      </c>
      <c r="G45" s="23">
        <f t="shared" si="0"/>
        <v>0</v>
      </c>
      <c r="H45" s="27"/>
      <c r="I45" s="27"/>
      <c r="J45" s="27"/>
      <c r="K45" s="27"/>
      <c r="L45" s="19"/>
      <c r="M45" s="24"/>
      <c r="P45" s="25">
        <v>180</v>
      </c>
    </row>
    <row r="46" spans="3:16" s="17" customFormat="1" ht="12.75" x14ac:dyDescent="0.2">
      <c r="C46" s="18"/>
      <c r="D46" s="20" t="s">
        <v>94</v>
      </c>
      <c r="E46" s="21" t="s">
        <v>95</v>
      </c>
      <c r="F46" s="22" t="s">
        <v>96</v>
      </c>
      <c r="G46" s="23">
        <f t="shared" si="0"/>
        <v>20.848999999999705</v>
      </c>
      <c r="H46" s="27"/>
      <c r="I46" s="27"/>
      <c r="J46" s="27"/>
      <c r="K46" s="27">
        <f>G25-G36</f>
        <v>20.848999999999705</v>
      </c>
      <c r="L46" s="19"/>
      <c r="M46" s="24"/>
      <c r="P46" s="25">
        <v>190</v>
      </c>
    </row>
    <row r="47" spans="3:16" s="17" customFormat="1" ht="12.75" x14ac:dyDescent="0.2">
      <c r="C47" s="18"/>
      <c r="D47" s="20" t="s">
        <v>97</v>
      </c>
      <c r="E47" s="26" t="s">
        <v>98</v>
      </c>
      <c r="F47" s="22" t="s">
        <v>99</v>
      </c>
      <c r="G47" s="23">
        <f t="shared" si="0"/>
        <v>0</v>
      </c>
      <c r="H47" s="27"/>
      <c r="I47" s="27"/>
      <c r="J47" s="27">
        <v>0</v>
      </c>
      <c r="K47" s="27">
        <v>0</v>
      </c>
      <c r="L47" s="19"/>
      <c r="M47" s="24"/>
      <c r="P47" s="25">
        <v>200</v>
      </c>
    </row>
    <row r="48" spans="3:16" s="17" customFormat="1" ht="12.75" x14ac:dyDescent="0.2">
      <c r="C48" s="18"/>
      <c r="D48" s="20" t="s">
        <v>100</v>
      </c>
      <c r="E48" s="21" t="s">
        <v>101</v>
      </c>
      <c r="F48" s="22" t="s">
        <v>102</v>
      </c>
      <c r="G48" s="23">
        <f t="shared" si="0"/>
        <v>20.849</v>
      </c>
      <c r="H48" s="27"/>
      <c r="I48" s="27"/>
      <c r="J48" s="27"/>
      <c r="K48" s="27">
        <v>20.849</v>
      </c>
      <c r="L48" s="19"/>
      <c r="M48" s="24"/>
      <c r="P48" s="36"/>
    </row>
    <row r="49" spans="3:16" s="17" customFormat="1" ht="22.5" x14ac:dyDescent="0.2">
      <c r="C49" s="18"/>
      <c r="D49" s="20" t="s">
        <v>103</v>
      </c>
      <c r="E49" s="46" t="s">
        <v>104</v>
      </c>
      <c r="F49" s="22" t="s">
        <v>105</v>
      </c>
      <c r="G49" s="23">
        <f t="shared" si="0"/>
        <v>-2.9487523534044158E-13</v>
      </c>
      <c r="H49" s="23">
        <f>H46-H48</f>
        <v>0</v>
      </c>
      <c r="I49" s="23">
        <f>I46-I48</f>
        <v>0</v>
      </c>
      <c r="J49" s="23">
        <f>J46-J48</f>
        <v>0</v>
      </c>
      <c r="K49" s="23">
        <f>K46-K48</f>
        <v>-2.9487523534044158E-13</v>
      </c>
      <c r="L49" s="19"/>
      <c r="M49" s="24"/>
      <c r="P49" s="36"/>
    </row>
    <row r="50" spans="3:16" s="17" customFormat="1" ht="12.75" x14ac:dyDescent="0.2">
      <c r="C50" s="18"/>
      <c r="D50" s="20" t="s">
        <v>106</v>
      </c>
      <c r="E50" s="21" t="s">
        <v>107</v>
      </c>
      <c r="F50" s="22" t="s">
        <v>108</v>
      </c>
      <c r="G50" s="23">
        <f t="shared" si="0"/>
        <v>0</v>
      </c>
      <c r="H50" s="23">
        <f>(H15+H27+H32)-(H33+H43+H44+H45+H46)</f>
        <v>0</v>
      </c>
      <c r="I50" s="23">
        <f>(I15+I27+I32)-(I33+I43+I44+I45+I46)</f>
        <v>0</v>
      </c>
      <c r="J50" s="23">
        <f>(J15+J27+J32)-(J33+J43+J44+J45+J46)</f>
        <v>0</v>
      </c>
      <c r="K50" s="23">
        <f>(K15+K27+K32)-(K33+K43+K44+K45+K46)</f>
        <v>0</v>
      </c>
      <c r="L50" s="19"/>
      <c r="M50" s="24"/>
      <c r="P50" s="25">
        <v>210</v>
      </c>
    </row>
    <row r="51" spans="3:16" s="17" customFormat="1" ht="12.75" x14ac:dyDescent="0.2">
      <c r="C51" s="18"/>
      <c r="D51" s="87" t="s">
        <v>109</v>
      </c>
      <c r="E51" s="88"/>
      <c r="F51" s="88"/>
      <c r="G51" s="88"/>
      <c r="H51" s="88"/>
      <c r="I51" s="88"/>
      <c r="J51" s="88"/>
      <c r="K51" s="89"/>
      <c r="L51" s="19"/>
      <c r="M51" s="24"/>
      <c r="P51" s="36"/>
    </row>
    <row r="52" spans="3:16" s="17" customFormat="1" ht="12.75" x14ac:dyDescent="0.2">
      <c r="C52" s="18"/>
      <c r="D52" s="20" t="s">
        <v>110</v>
      </c>
      <c r="E52" s="21" t="s">
        <v>24</v>
      </c>
      <c r="F52" s="22" t="s">
        <v>111</v>
      </c>
      <c r="G52" s="23">
        <f t="shared" si="0"/>
        <v>4.5740999999999996</v>
      </c>
      <c r="H52" s="23">
        <f>H53+H54+H57+H60</f>
        <v>1.0977839999999999</v>
      </c>
      <c r="I52" s="23">
        <f>I53+I54+I57+I60</f>
        <v>0</v>
      </c>
      <c r="J52" s="23">
        <f>J53+J54+J57+J60</f>
        <v>3.4763159999999997</v>
      </c>
      <c r="K52" s="23">
        <f>K53+K54+K57+K60</f>
        <v>0</v>
      </c>
      <c r="L52" s="19"/>
      <c r="M52" s="24"/>
      <c r="P52" s="25">
        <v>300</v>
      </c>
    </row>
    <row r="53" spans="3:16" s="17" customFormat="1" ht="12.75" x14ac:dyDescent="0.2">
      <c r="C53" s="18"/>
      <c r="D53" s="20" t="s">
        <v>112</v>
      </c>
      <c r="E53" s="26" t="s">
        <v>26</v>
      </c>
      <c r="F53" s="22" t="s">
        <v>113</v>
      </c>
      <c r="G53" s="23">
        <f t="shared" si="0"/>
        <v>0</v>
      </c>
      <c r="H53" s="27"/>
      <c r="I53" s="27"/>
      <c r="J53" s="27"/>
      <c r="K53" s="27"/>
      <c r="L53" s="19"/>
      <c r="M53" s="24"/>
      <c r="P53" s="25">
        <v>310</v>
      </c>
    </row>
    <row r="54" spans="3:16" s="17" customFormat="1" ht="12.75" x14ac:dyDescent="0.2">
      <c r="C54" s="18"/>
      <c r="D54" s="20" t="s">
        <v>114</v>
      </c>
      <c r="E54" s="26" t="s">
        <v>28</v>
      </c>
      <c r="F54" s="22" t="s">
        <v>115</v>
      </c>
      <c r="G54" s="23">
        <f t="shared" si="0"/>
        <v>0</v>
      </c>
      <c r="H54" s="23">
        <f>SUM(H55:H56)</f>
        <v>0</v>
      </c>
      <c r="I54" s="23">
        <f>SUM(I55:I56)</f>
        <v>0</v>
      </c>
      <c r="J54" s="23">
        <f>SUM(J55:J56)</f>
        <v>0</v>
      </c>
      <c r="K54" s="23">
        <f>SUM(K55:K56)</f>
        <v>0</v>
      </c>
      <c r="L54" s="19"/>
      <c r="M54" s="24"/>
      <c r="P54" s="25">
        <v>320</v>
      </c>
    </row>
    <row r="55" spans="3:16" s="17" customFormat="1" ht="12.75" x14ac:dyDescent="0.2">
      <c r="C55" s="18"/>
      <c r="D55" s="28" t="s">
        <v>116</v>
      </c>
      <c r="E55" s="29"/>
      <c r="F55" s="30" t="s">
        <v>115</v>
      </c>
      <c r="G55" s="31"/>
      <c r="H55" s="31"/>
      <c r="I55" s="31"/>
      <c r="J55" s="31"/>
      <c r="K55" s="31"/>
      <c r="L55" s="19"/>
      <c r="M55" s="24"/>
      <c r="P55" s="25"/>
    </row>
    <row r="56" spans="3:16" s="17" customFormat="1" ht="12.75" x14ac:dyDescent="0.2">
      <c r="C56" s="18"/>
      <c r="D56" s="32"/>
      <c r="E56" s="33" t="s">
        <v>31</v>
      </c>
      <c r="F56" s="34"/>
      <c r="G56" s="34"/>
      <c r="H56" s="34"/>
      <c r="I56" s="34"/>
      <c r="J56" s="34"/>
      <c r="K56" s="35"/>
      <c r="L56" s="19"/>
      <c r="M56" s="24"/>
      <c r="P56" s="25"/>
    </row>
    <row r="57" spans="3:16" s="17" customFormat="1" ht="12.75" x14ac:dyDescent="0.2">
      <c r="C57" s="18"/>
      <c r="D57" s="20" t="s">
        <v>117</v>
      </c>
      <c r="E57" s="26" t="s">
        <v>33</v>
      </c>
      <c r="F57" s="22" t="s">
        <v>118</v>
      </c>
      <c r="G57" s="23">
        <f t="shared" si="0"/>
        <v>0</v>
      </c>
      <c r="H57" s="23">
        <f>SUM(H58:H59)</f>
        <v>0</v>
      </c>
      <c r="I57" s="23">
        <f>SUM(I58:I59)</f>
        <v>0</v>
      </c>
      <c r="J57" s="23">
        <f>SUM(J58:J59)</f>
        <v>0</v>
      </c>
      <c r="K57" s="23">
        <f>SUM(K58:K59)</f>
        <v>0</v>
      </c>
      <c r="L57" s="19"/>
      <c r="M57" s="24"/>
      <c r="P57" s="25"/>
    </row>
    <row r="58" spans="3:16" s="17" customFormat="1" ht="12.75" x14ac:dyDescent="0.2">
      <c r="C58" s="18"/>
      <c r="D58" s="28" t="s">
        <v>119</v>
      </c>
      <c r="E58" s="29"/>
      <c r="F58" s="30" t="s">
        <v>118</v>
      </c>
      <c r="G58" s="31"/>
      <c r="H58" s="31"/>
      <c r="I58" s="31"/>
      <c r="J58" s="31"/>
      <c r="K58" s="31"/>
      <c r="L58" s="19"/>
      <c r="M58" s="24"/>
      <c r="P58" s="25"/>
    </row>
    <row r="59" spans="3:16" s="17" customFormat="1" ht="12.75" x14ac:dyDescent="0.2">
      <c r="C59" s="18"/>
      <c r="D59" s="32"/>
      <c r="E59" s="33" t="s">
        <v>31</v>
      </c>
      <c r="F59" s="34"/>
      <c r="G59" s="34"/>
      <c r="H59" s="34"/>
      <c r="I59" s="34"/>
      <c r="J59" s="34"/>
      <c r="K59" s="35"/>
      <c r="L59" s="19"/>
      <c r="M59" s="24"/>
      <c r="P59" s="25"/>
    </row>
    <row r="60" spans="3:16" s="17" customFormat="1" ht="12.75" x14ac:dyDescent="0.2">
      <c r="C60" s="18"/>
      <c r="D60" s="20" t="s">
        <v>120</v>
      </c>
      <c r="E60" s="26" t="s">
        <v>37</v>
      </c>
      <c r="F60" s="22" t="s">
        <v>121</v>
      </c>
      <c r="G60" s="23">
        <f t="shared" si="0"/>
        <v>4.5740999999999996</v>
      </c>
      <c r="H60" s="23">
        <f>SUM(H61:H63)</f>
        <v>1.0977839999999999</v>
      </c>
      <c r="I60" s="23">
        <f>SUM(I61:I63)</f>
        <v>0</v>
      </c>
      <c r="J60" s="23">
        <f>SUM(J61:J63)</f>
        <v>3.4763159999999997</v>
      </c>
      <c r="K60" s="23">
        <f>SUM(K61:K63)</f>
        <v>0</v>
      </c>
      <c r="L60" s="19"/>
      <c r="M60" s="24"/>
      <c r="P60" s="25">
        <v>330</v>
      </c>
    </row>
    <row r="61" spans="3:16" s="17" customFormat="1" ht="12.75" x14ac:dyDescent="0.2">
      <c r="C61" s="18"/>
      <c r="D61" s="28" t="s">
        <v>122</v>
      </c>
      <c r="E61" s="29"/>
      <c r="F61" s="30" t="s">
        <v>121</v>
      </c>
      <c r="G61" s="31"/>
      <c r="H61" s="31"/>
      <c r="I61" s="31"/>
      <c r="J61" s="31"/>
      <c r="K61" s="31"/>
      <c r="L61" s="19"/>
      <c r="M61" s="24"/>
      <c r="P61" s="25"/>
    </row>
    <row r="62" spans="3:16" s="17" customFormat="1" ht="15" x14ac:dyDescent="0.25">
      <c r="C62" s="37" t="s">
        <v>40</v>
      </c>
      <c r="D62" s="38" t="s">
        <v>123</v>
      </c>
      <c r="E62" s="39" t="s">
        <v>42</v>
      </c>
      <c r="F62" s="40">
        <v>1461</v>
      </c>
      <c r="G62" s="41">
        <f>SUM(H62:K62)</f>
        <v>4.5740999999999996</v>
      </c>
      <c r="H62" s="52">
        <f>4.5741*0.24</f>
        <v>1.0977839999999999</v>
      </c>
      <c r="I62" s="52">
        <v>0</v>
      </c>
      <c r="J62" s="52">
        <f>4.5741-H62</f>
        <v>3.4763159999999997</v>
      </c>
      <c r="K62" s="53">
        <v>0</v>
      </c>
      <c r="L62" s="19"/>
      <c r="M62" s="43" t="s">
        <v>43</v>
      </c>
      <c r="N62" s="44" t="s">
        <v>44</v>
      </c>
      <c r="O62" s="44" t="s">
        <v>45</v>
      </c>
    </row>
    <row r="63" spans="3:16" s="17" customFormat="1" ht="12.75" x14ac:dyDescent="0.2">
      <c r="C63" s="18"/>
      <c r="D63" s="32"/>
      <c r="E63" s="33" t="s">
        <v>31</v>
      </c>
      <c r="F63" s="34"/>
      <c r="G63" s="34"/>
      <c r="H63" s="34"/>
      <c r="I63" s="34"/>
      <c r="J63" s="34"/>
      <c r="K63" s="35"/>
      <c r="L63" s="19"/>
      <c r="M63" s="24"/>
      <c r="P63" s="25"/>
    </row>
    <row r="64" spans="3:16" s="17" customFormat="1" ht="12.75" x14ac:dyDescent="0.2">
      <c r="C64" s="18"/>
      <c r="D64" s="20" t="s">
        <v>124</v>
      </c>
      <c r="E64" s="21" t="s">
        <v>47</v>
      </c>
      <c r="F64" s="22" t="s">
        <v>125</v>
      </c>
      <c r="G64" s="23">
        <f t="shared" si="0"/>
        <v>4.6188400000000005</v>
      </c>
      <c r="H64" s="23">
        <f>H66+H67+H68</f>
        <v>0</v>
      </c>
      <c r="I64" s="23">
        <f>I65+I67+I68</f>
        <v>0</v>
      </c>
      <c r="J64" s="23">
        <f>J65+J66+J68</f>
        <v>1.0977839999999999</v>
      </c>
      <c r="K64" s="23">
        <f>K65+K66+K67</f>
        <v>3.5210560000000002</v>
      </c>
      <c r="L64" s="19"/>
      <c r="M64" s="24"/>
      <c r="P64" s="25">
        <v>340</v>
      </c>
    </row>
    <row r="65" spans="3:16" s="17" customFormat="1" ht="12.75" x14ac:dyDescent="0.2">
      <c r="C65" s="18"/>
      <c r="D65" s="20" t="s">
        <v>126</v>
      </c>
      <c r="E65" s="26" t="s">
        <v>18</v>
      </c>
      <c r="F65" s="22" t="s">
        <v>127</v>
      </c>
      <c r="G65" s="23">
        <f t="shared" si="0"/>
        <v>1.0977839999999999</v>
      </c>
      <c r="H65" s="45"/>
      <c r="I65" s="27"/>
      <c r="J65" s="27">
        <f>H62</f>
        <v>1.0977839999999999</v>
      </c>
      <c r="K65" s="27"/>
      <c r="L65" s="19"/>
      <c r="M65" s="24"/>
      <c r="P65" s="25">
        <v>350</v>
      </c>
    </row>
    <row r="66" spans="3:16" s="17" customFormat="1" ht="12.75" x14ac:dyDescent="0.2">
      <c r="C66" s="18"/>
      <c r="D66" s="20" t="s">
        <v>128</v>
      </c>
      <c r="E66" s="26" t="s">
        <v>19</v>
      </c>
      <c r="F66" s="22" t="s">
        <v>129</v>
      </c>
      <c r="G66" s="23">
        <f t="shared" si="0"/>
        <v>0</v>
      </c>
      <c r="H66" s="27"/>
      <c r="I66" s="54"/>
      <c r="J66" s="27"/>
      <c r="K66" s="27"/>
      <c r="L66" s="19"/>
      <c r="M66" s="24"/>
      <c r="P66" s="25">
        <v>360</v>
      </c>
    </row>
    <row r="67" spans="3:16" s="17" customFormat="1" ht="12.75" x14ac:dyDescent="0.2">
      <c r="C67" s="18"/>
      <c r="D67" s="20" t="s">
        <v>130</v>
      </c>
      <c r="E67" s="26" t="s">
        <v>20</v>
      </c>
      <c r="F67" s="22" t="s">
        <v>131</v>
      </c>
      <c r="G67" s="23">
        <f t="shared" si="0"/>
        <v>3.5210560000000002</v>
      </c>
      <c r="H67" s="27"/>
      <c r="I67" s="27"/>
      <c r="J67" s="45"/>
      <c r="K67" s="27">
        <f>K73+K83</f>
        <v>3.5210560000000002</v>
      </c>
      <c r="L67" s="19"/>
      <c r="M67" s="24"/>
      <c r="P67" s="25">
        <v>370</v>
      </c>
    </row>
    <row r="68" spans="3:16" s="17" customFormat="1" ht="12.75" x14ac:dyDescent="0.2">
      <c r="C68" s="18"/>
      <c r="D68" s="20" t="s">
        <v>132</v>
      </c>
      <c r="E68" s="26" t="s">
        <v>56</v>
      </c>
      <c r="F68" s="22" t="s">
        <v>133</v>
      </c>
      <c r="G68" s="23">
        <f t="shared" si="0"/>
        <v>0</v>
      </c>
      <c r="H68" s="27"/>
      <c r="I68" s="27"/>
      <c r="J68" s="27"/>
      <c r="K68" s="45"/>
      <c r="L68" s="19"/>
      <c r="M68" s="24"/>
      <c r="P68" s="25">
        <v>380</v>
      </c>
    </row>
    <row r="69" spans="3:16" s="17" customFormat="1" ht="12.75" x14ac:dyDescent="0.2">
      <c r="C69" s="18"/>
      <c r="D69" s="20" t="s">
        <v>134</v>
      </c>
      <c r="E69" s="46" t="s">
        <v>59</v>
      </c>
      <c r="F69" s="22" t="s">
        <v>135</v>
      </c>
      <c r="G69" s="23">
        <f t="shared" si="0"/>
        <v>0</v>
      </c>
      <c r="H69" s="27"/>
      <c r="I69" s="27"/>
      <c r="J69" s="27"/>
      <c r="K69" s="27"/>
      <c r="L69" s="19"/>
      <c r="M69" s="24"/>
      <c r="P69" s="25"/>
    </row>
    <row r="70" spans="3:16" s="17" customFormat="1" ht="12.75" x14ac:dyDescent="0.2">
      <c r="C70" s="18"/>
      <c r="D70" s="20" t="s">
        <v>136</v>
      </c>
      <c r="E70" s="21" t="s">
        <v>62</v>
      </c>
      <c r="F70" s="47" t="s">
        <v>137</v>
      </c>
      <c r="G70" s="23">
        <f t="shared" si="0"/>
        <v>4.3856000000000002</v>
      </c>
      <c r="H70" s="23">
        <f>H71+H73+H76+H79</f>
        <v>0</v>
      </c>
      <c r="I70" s="23">
        <f>I71+I73+I76+I79</f>
        <v>0</v>
      </c>
      <c r="J70" s="23">
        <f>J71+J73+J76+J79</f>
        <v>1.0525439999999999</v>
      </c>
      <c r="K70" s="23">
        <f>K71+K73+K76+K79</f>
        <v>3.333056</v>
      </c>
      <c r="L70" s="19"/>
      <c r="M70" s="24"/>
      <c r="P70" s="25">
        <v>390</v>
      </c>
    </row>
    <row r="71" spans="3:16" s="17" customFormat="1" ht="22.5" x14ac:dyDescent="0.2">
      <c r="C71" s="18"/>
      <c r="D71" s="20" t="s">
        <v>138</v>
      </c>
      <c r="E71" s="26" t="s">
        <v>65</v>
      </c>
      <c r="F71" s="22" t="s">
        <v>139</v>
      </c>
      <c r="G71" s="23">
        <f t="shared" si="0"/>
        <v>0</v>
      </c>
      <c r="H71" s="27"/>
      <c r="I71" s="27"/>
      <c r="J71" s="27"/>
      <c r="K71" s="27"/>
      <c r="L71" s="19"/>
      <c r="M71" s="24"/>
      <c r="P71" s="25"/>
    </row>
    <row r="72" spans="3:16" s="17" customFormat="1" ht="12.75" x14ac:dyDescent="0.2">
      <c r="C72" s="18"/>
      <c r="D72" s="20" t="s">
        <v>140</v>
      </c>
      <c r="E72" s="48" t="s">
        <v>68</v>
      </c>
      <c r="F72" s="22" t="s">
        <v>141</v>
      </c>
      <c r="G72" s="23">
        <f t="shared" si="0"/>
        <v>0</v>
      </c>
      <c r="H72" s="27"/>
      <c r="I72" s="27"/>
      <c r="J72" s="27"/>
      <c r="K72" s="27"/>
      <c r="L72" s="19"/>
      <c r="M72" s="24"/>
      <c r="P72" s="25"/>
    </row>
    <row r="73" spans="3:16" s="17" customFormat="1" ht="12.75" x14ac:dyDescent="0.2">
      <c r="C73" s="18"/>
      <c r="D73" s="20" t="s">
        <v>142</v>
      </c>
      <c r="E73" s="26" t="s">
        <v>71</v>
      </c>
      <c r="F73" s="22" t="s">
        <v>143</v>
      </c>
      <c r="G73" s="23">
        <f t="shared" si="0"/>
        <v>4.3856000000000002</v>
      </c>
      <c r="H73" s="27">
        <v>0</v>
      </c>
      <c r="I73" s="27">
        <v>0</v>
      </c>
      <c r="J73" s="27">
        <f>4.3856*0.24</f>
        <v>1.0525439999999999</v>
      </c>
      <c r="K73" s="27">
        <f>4.3856-J73</f>
        <v>3.333056</v>
      </c>
      <c r="L73" s="19"/>
      <c r="M73" s="24"/>
      <c r="P73" s="25"/>
    </row>
    <row r="74" spans="3:16" s="17" customFormat="1" ht="12.75" x14ac:dyDescent="0.2">
      <c r="C74" s="18"/>
      <c r="D74" s="20" t="s">
        <v>144</v>
      </c>
      <c r="E74" s="48" t="s">
        <v>74</v>
      </c>
      <c r="F74" s="22" t="s">
        <v>145</v>
      </c>
      <c r="G74" s="23">
        <f t="shared" si="0"/>
        <v>0</v>
      </c>
      <c r="H74" s="27"/>
      <c r="I74" s="27"/>
      <c r="J74" s="27"/>
      <c r="K74" s="27"/>
      <c r="L74" s="19"/>
      <c r="M74" s="24"/>
      <c r="P74" s="25"/>
    </row>
    <row r="75" spans="3:16" s="17" customFormat="1" ht="12.75" x14ac:dyDescent="0.2">
      <c r="C75" s="18"/>
      <c r="D75" s="20" t="s">
        <v>146</v>
      </c>
      <c r="E75" s="49" t="s">
        <v>68</v>
      </c>
      <c r="F75" s="22" t="s">
        <v>147</v>
      </c>
      <c r="G75" s="23">
        <f t="shared" si="0"/>
        <v>0</v>
      </c>
      <c r="H75" s="27"/>
      <c r="I75" s="27"/>
      <c r="J75" s="27"/>
      <c r="K75" s="27"/>
      <c r="L75" s="19"/>
      <c r="M75" s="24"/>
      <c r="P75" s="25"/>
    </row>
    <row r="76" spans="3:16" s="17" customFormat="1" ht="12.75" x14ac:dyDescent="0.2">
      <c r="C76" s="18"/>
      <c r="D76" s="20" t="s">
        <v>148</v>
      </c>
      <c r="E76" s="26" t="s">
        <v>79</v>
      </c>
      <c r="F76" s="22" t="s">
        <v>149</v>
      </c>
      <c r="G76" s="23">
        <f t="shared" si="0"/>
        <v>0</v>
      </c>
      <c r="H76" s="23">
        <f>SUM(H77:H78)</f>
        <v>0</v>
      </c>
      <c r="I76" s="23">
        <f>SUM(I77:I78)</f>
        <v>0</v>
      </c>
      <c r="J76" s="23">
        <f>SUM(J77:J78)</f>
        <v>0</v>
      </c>
      <c r="K76" s="23">
        <f>SUM(K77:K78)</f>
        <v>0</v>
      </c>
      <c r="L76" s="19"/>
      <c r="M76" s="24"/>
      <c r="P76" s="25"/>
    </row>
    <row r="77" spans="3:16" s="17" customFormat="1" ht="12.75" x14ac:dyDescent="0.2">
      <c r="C77" s="18"/>
      <c r="D77" s="28" t="s">
        <v>150</v>
      </c>
      <c r="E77" s="29"/>
      <c r="F77" s="30" t="s">
        <v>149</v>
      </c>
      <c r="G77" s="31"/>
      <c r="H77" s="31"/>
      <c r="I77" s="31"/>
      <c r="J77" s="31"/>
      <c r="K77" s="31"/>
      <c r="L77" s="19"/>
      <c r="M77" s="24"/>
      <c r="P77" s="25"/>
    </row>
    <row r="78" spans="3:16" s="17" customFormat="1" ht="12.75" x14ac:dyDescent="0.2">
      <c r="C78" s="18"/>
      <c r="D78" s="32"/>
      <c r="E78" s="33" t="s">
        <v>31</v>
      </c>
      <c r="F78" s="34"/>
      <c r="G78" s="34"/>
      <c r="H78" s="34"/>
      <c r="I78" s="34"/>
      <c r="J78" s="34"/>
      <c r="K78" s="35"/>
      <c r="L78" s="19"/>
      <c r="M78" s="24"/>
      <c r="P78" s="25"/>
    </row>
    <row r="79" spans="3:16" s="17" customFormat="1" ht="12.75" x14ac:dyDescent="0.2">
      <c r="C79" s="18"/>
      <c r="D79" s="20" t="s">
        <v>151</v>
      </c>
      <c r="E79" s="51" t="s">
        <v>83</v>
      </c>
      <c r="F79" s="22" t="s">
        <v>152</v>
      </c>
      <c r="G79" s="23">
        <f t="shared" si="0"/>
        <v>0</v>
      </c>
      <c r="H79" s="27"/>
      <c r="I79" s="27"/>
      <c r="J79" s="27"/>
      <c r="K79" s="27"/>
      <c r="L79" s="19"/>
      <c r="M79" s="24"/>
      <c r="P79" s="25">
        <v>410</v>
      </c>
    </row>
    <row r="80" spans="3:16" s="17" customFormat="1" ht="12.75" x14ac:dyDescent="0.2">
      <c r="C80" s="18"/>
      <c r="D80" s="20" t="s">
        <v>153</v>
      </c>
      <c r="E80" s="21" t="s">
        <v>86</v>
      </c>
      <c r="F80" s="22" t="s">
        <v>154</v>
      </c>
      <c r="G80" s="23">
        <f t="shared" si="0"/>
        <v>4.6188400000000005</v>
      </c>
      <c r="H80" s="27">
        <f>H62</f>
        <v>1.0977839999999999</v>
      </c>
      <c r="I80" s="27"/>
      <c r="J80" s="27">
        <f>K67</f>
        <v>3.5210560000000002</v>
      </c>
      <c r="K80" s="27"/>
      <c r="L80" s="19"/>
      <c r="M80" s="24"/>
      <c r="P80" s="25">
        <v>440</v>
      </c>
    </row>
    <row r="81" spans="3:16" s="17" customFormat="1" ht="12.75" x14ac:dyDescent="0.2">
      <c r="C81" s="18"/>
      <c r="D81" s="20" t="s">
        <v>155</v>
      </c>
      <c r="E81" s="21" t="s">
        <v>89</v>
      </c>
      <c r="F81" s="22" t="s">
        <v>156</v>
      </c>
      <c r="G81" s="23">
        <f t="shared" si="0"/>
        <v>0</v>
      </c>
      <c r="H81" s="27"/>
      <c r="I81" s="27"/>
      <c r="J81" s="27"/>
      <c r="K81" s="27"/>
      <c r="L81" s="19"/>
      <c r="M81" s="24"/>
      <c r="P81" s="25">
        <v>450</v>
      </c>
    </row>
    <row r="82" spans="3:16" s="17" customFormat="1" ht="12.75" x14ac:dyDescent="0.2">
      <c r="C82" s="18"/>
      <c r="D82" s="20" t="s">
        <v>157</v>
      </c>
      <c r="E82" s="21" t="s">
        <v>92</v>
      </c>
      <c r="F82" s="22" t="s">
        <v>158</v>
      </c>
      <c r="G82" s="23">
        <f t="shared" si="0"/>
        <v>0</v>
      </c>
      <c r="H82" s="27"/>
      <c r="I82" s="27"/>
      <c r="J82" s="27"/>
      <c r="K82" s="27"/>
      <c r="L82" s="19"/>
      <c r="M82" s="24"/>
      <c r="P82" s="25">
        <v>470</v>
      </c>
    </row>
    <row r="83" spans="3:16" s="17" customFormat="1" ht="12.75" x14ac:dyDescent="0.2">
      <c r="C83" s="18"/>
      <c r="D83" s="20" t="s">
        <v>159</v>
      </c>
      <c r="E83" s="21" t="s">
        <v>95</v>
      </c>
      <c r="F83" s="22" t="s">
        <v>160</v>
      </c>
      <c r="G83" s="23">
        <f t="shared" si="0"/>
        <v>0.188</v>
      </c>
      <c r="H83" s="27"/>
      <c r="I83" s="27"/>
      <c r="J83" s="27"/>
      <c r="K83" s="27">
        <v>0.188</v>
      </c>
      <c r="L83" s="19"/>
      <c r="M83" s="24"/>
      <c r="P83" s="25">
        <v>480</v>
      </c>
    </row>
    <row r="84" spans="3:16" s="17" customFormat="1" ht="12.75" x14ac:dyDescent="0.2">
      <c r="C84" s="18"/>
      <c r="D84" s="20" t="s">
        <v>161</v>
      </c>
      <c r="E84" s="26" t="s">
        <v>162</v>
      </c>
      <c r="F84" s="22" t="s">
        <v>163</v>
      </c>
      <c r="G84" s="23">
        <f t="shared" si="0"/>
        <v>0</v>
      </c>
      <c r="H84" s="27"/>
      <c r="I84" s="27"/>
      <c r="J84" s="27"/>
      <c r="K84" s="27"/>
      <c r="L84" s="19"/>
      <c r="M84" s="24"/>
      <c r="P84" s="25">
        <v>490</v>
      </c>
    </row>
    <row r="85" spans="3:16" s="17" customFormat="1" ht="12.75" x14ac:dyDescent="0.2">
      <c r="C85" s="18"/>
      <c r="D85" s="20" t="s">
        <v>164</v>
      </c>
      <c r="E85" s="21" t="s">
        <v>101</v>
      </c>
      <c r="F85" s="22" t="s">
        <v>165</v>
      </c>
      <c r="G85" s="23">
        <f t="shared" si="0"/>
        <v>0.1885</v>
      </c>
      <c r="H85" s="27"/>
      <c r="I85" s="27"/>
      <c r="J85" s="27"/>
      <c r="K85" s="27">
        <v>0.1885</v>
      </c>
      <c r="L85" s="19"/>
      <c r="M85" s="24"/>
      <c r="P85" s="25"/>
    </row>
    <row r="86" spans="3:16" s="17" customFormat="1" ht="22.5" x14ac:dyDescent="0.2">
      <c r="C86" s="18"/>
      <c r="D86" s="20" t="s">
        <v>166</v>
      </c>
      <c r="E86" s="46" t="s">
        <v>104</v>
      </c>
      <c r="F86" s="22" t="s">
        <v>167</v>
      </c>
      <c r="G86" s="23">
        <f t="shared" si="0"/>
        <v>-5.0000000000000044E-4</v>
      </c>
      <c r="H86" s="23">
        <f>H83-H85</f>
        <v>0</v>
      </c>
      <c r="I86" s="23">
        <f>I83-I85</f>
        <v>0</v>
      </c>
      <c r="J86" s="23">
        <f>J83-J85</f>
        <v>0</v>
      </c>
      <c r="K86" s="23">
        <f>K83-K85</f>
        <v>-5.0000000000000044E-4</v>
      </c>
      <c r="L86" s="19"/>
      <c r="M86" s="24"/>
      <c r="P86" s="25"/>
    </row>
    <row r="87" spans="3:16" s="17" customFormat="1" ht="12.75" x14ac:dyDescent="0.2">
      <c r="C87" s="18"/>
      <c r="D87" s="20" t="s">
        <v>168</v>
      </c>
      <c r="E87" s="21" t="s">
        <v>107</v>
      </c>
      <c r="F87" s="22" t="s">
        <v>169</v>
      </c>
      <c r="G87" s="23">
        <f t="shared" si="0"/>
        <v>4.9999999999972289E-4</v>
      </c>
      <c r="H87" s="23">
        <f>(H52+H64+H69)-(H70+H80+H81+H82+H83)</f>
        <v>0</v>
      </c>
      <c r="I87" s="23">
        <f>(I52+I64+I69)-(I70+I80+I81+I82+I83)</f>
        <v>0</v>
      </c>
      <c r="J87" s="23">
        <f>(J52+J64+J69)-(J70+J80+J81+J82+J83)</f>
        <v>4.9999999999972289E-4</v>
      </c>
      <c r="K87" s="23">
        <f>(K52+K64+K69)-(K70+K80+K81+K82+K83)</f>
        <v>0</v>
      </c>
      <c r="L87" s="19"/>
      <c r="M87" s="24"/>
      <c r="P87" s="25">
        <v>500</v>
      </c>
    </row>
    <row r="88" spans="3:16" s="17" customFormat="1" ht="12.75" x14ac:dyDescent="0.2">
      <c r="C88" s="18"/>
      <c r="D88" s="87" t="s">
        <v>170</v>
      </c>
      <c r="E88" s="88"/>
      <c r="F88" s="88"/>
      <c r="G88" s="88"/>
      <c r="H88" s="88"/>
      <c r="I88" s="88"/>
      <c r="J88" s="88"/>
      <c r="K88" s="89"/>
      <c r="L88" s="19"/>
      <c r="M88" s="24"/>
      <c r="P88" s="36"/>
    </row>
    <row r="89" spans="3:16" s="17" customFormat="1" ht="12.75" x14ac:dyDescent="0.2">
      <c r="C89" s="18"/>
      <c r="D89" s="20" t="s">
        <v>171</v>
      </c>
      <c r="E89" s="21" t="s">
        <v>172</v>
      </c>
      <c r="F89" s="22" t="s">
        <v>173</v>
      </c>
      <c r="G89" s="23">
        <f t="shared" si="0"/>
        <v>4.3856000000000002</v>
      </c>
      <c r="H89" s="27"/>
      <c r="I89" s="27"/>
      <c r="J89" s="42">
        <f>J73</f>
        <v>1.0525439999999999</v>
      </c>
      <c r="K89" s="42">
        <f>K73</f>
        <v>3.333056</v>
      </c>
      <c r="L89" s="19"/>
      <c r="M89" s="24"/>
      <c r="P89" s="25">
        <v>600</v>
      </c>
    </row>
    <row r="90" spans="3:16" s="17" customFormat="1" ht="12.75" x14ac:dyDescent="0.2">
      <c r="C90" s="18"/>
      <c r="D90" s="20" t="s">
        <v>174</v>
      </c>
      <c r="E90" s="21" t="s">
        <v>175</v>
      </c>
      <c r="F90" s="22" t="s">
        <v>176</v>
      </c>
      <c r="G90" s="23">
        <f t="shared" si="0"/>
        <v>0</v>
      </c>
      <c r="H90" s="27"/>
      <c r="I90" s="27"/>
      <c r="J90" s="27"/>
      <c r="K90" s="27"/>
      <c r="L90" s="19"/>
      <c r="M90" s="24"/>
      <c r="P90" s="25">
        <v>610</v>
      </c>
    </row>
    <row r="91" spans="3:16" s="17" customFormat="1" ht="12.75" x14ac:dyDescent="0.2">
      <c r="C91" s="18"/>
      <c r="D91" s="20" t="s">
        <v>177</v>
      </c>
      <c r="E91" s="21" t="s">
        <v>178</v>
      </c>
      <c r="F91" s="22" t="s">
        <v>179</v>
      </c>
      <c r="G91" s="23">
        <f t="shared" si="0"/>
        <v>0</v>
      </c>
      <c r="H91" s="27"/>
      <c r="I91" s="27"/>
      <c r="J91" s="27"/>
      <c r="K91" s="27"/>
      <c r="L91" s="19"/>
      <c r="M91" s="24"/>
      <c r="P91" s="25">
        <v>620</v>
      </c>
    </row>
    <row r="92" spans="3:16" s="17" customFormat="1" ht="12.75" x14ac:dyDescent="0.2">
      <c r="C92" s="18"/>
      <c r="D92" s="87" t="s">
        <v>180</v>
      </c>
      <c r="E92" s="88"/>
      <c r="F92" s="88"/>
      <c r="G92" s="88"/>
      <c r="H92" s="88"/>
      <c r="I92" s="88"/>
      <c r="J92" s="88"/>
      <c r="K92" s="89"/>
      <c r="L92" s="19"/>
      <c r="M92" s="24"/>
      <c r="P92" s="36"/>
    </row>
    <row r="93" spans="3:16" s="17" customFormat="1" ht="12.75" x14ac:dyDescent="0.2">
      <c r="C93" s="18"/>
      <c r="D93" s="20" t="s">
        <v>181</v>
      </c>
      <c r="E93" s="21" t="s">
        <v>182</v>
      </c>
      <c r="F93" s="22" t="s">
        <v>183</v>
      </c>
      <c r="G93" s="23">
        <f t="shared" si="0"/>
        <v>0</v>
      </c>
      <c r="H93" s="23">
        <f>SUM(H94:H95)</f>
        <v>0</v>
      </c>
      <c r="I93" s="23">
        <f>SUM(I94:I95)</f>
        <v>0</v>
      </c>
      <c r="J93" s="23">
        <f>SUM(J94:J95)</f>
        <v>0</v>
      </c>
      <c r="K93" s="23">
        <f>SUM(K94:K95)</f>
        <v>0</v>
      </c>
      <c r="L93" s="19"/>
      <c r="M93" s="24"/>
      <c r="P93" s="25">
        <v>700</v>
      </c>
    </row>
    <row r="94" spans="3:16" ht="12.75" x14ac:dyDescent="0.2">
      <c r="C94" s="6"/>
      <c r="D94" s="55" t="s">
        <v>184</v>
      </c>
      <c r="E94" s="26" t="s">
        <v>185</v>
      </c>
      <c r="F94" s="22" t="s">
        <v>186</v>
      </c>
      <c r="G94" s="23">
        <f t="shared" si="0"/>
        <v>0</v>
      </c>
      <c r="H94" s="56"/>
      <c r="I94" s="56"/>
      <c r="J94" s="56"/>
      <c r="K94" s="56"/>
      <c r="L94" s="13"/>
      <c r="M94" s="24"/>
      <c r="P94" s="25">
        <v>710</v>
      </c>
    </row>
    <row r="95" spans="3:16" ht="12.75" x14ac:dyDescent="0.2">
      <c r="C95" s="6"/>
      <c r="D95" s="55" t="s">
        <v>187</v>
      </c>
      <c r="E95" s="26" t="s">
        <v>188</v>
      </c>
      <c r="F95" s="22" t="s">
        <v>189</v>
      </c>
      <c r="G95" s="23">
        <f t="shared" si="0"/>
        <v>0</v>
      </c>
      <c r="H95" s="57">
        <f>H98</f>
        <v>0</v>
      </c>
      <c r="I95" s="57">
        <f>I98</f>
        <v>0</v>
      </c>
      <c r="J95" s="57">
        <f>J98</f>
        <v>0</v>
      </c>
      <c r="K95" s="57">
        <f>K98</f>
        <v>0</v>
      </c>
      <c r="L95" s="13"/>
      <c r="M95" s="24"/>
      <c r="P95" s="25">
        <v>720</v>
      </c>
    </row>
    <row r="96" spans="3:16" ht="12.75" x14ac:dyDescent="0.2">
      <c r="C96" s="6"/>
      <c r="D96" s="55" t="s">
        <v>190</v>
      </c>
      <c r="E96" s="48" t="s">
        <v>191</v>
      </c>
      <c r="F96" s="22" t="s">
        <v>192</v>
      </c>
      <c r="G96" s="23">
        <f t="shared" si="0"/>
        <v>0</v>
      </c>
      <c r="H96" s="56"/>
      <c r="I96" s="56"/>
      <c r="J96" s="56"/>
      <c r="K96" s="56"/>
      <c r="L96" s="13"/>
      <c r="M96" s="24"/>
      <c r="P96" s="25">
        <v>730</v>
      </c>
    </row>
    <row r="97" spans="3:16" ht="12.75" x14ac:dyDescent="0.2">
      <c r="C97" s="6"/>
      <c r="D97" s="55" t="s">
        <v>193</v>
      </c>
      <c r="E97" s="49" t="s">
        <v>194</v>
      </c>
      <c r="F97" s="22" t="s">
        <v>195</v>
      </c>
      <c r="G97" s="23">
        <f t="shared" si="0"/>
        <v>0</v>
      </c>
      <c r="H97" s="56"/>
      <c r="I97" s="56"/>
      <c r="J97" s="56"/>
      <c r="K97" s="56"/>
      <c r="L97" s="13"/>
      <c r="M97" s="24"/>
      <c r="P97" s="25"/>
    </row>
    <row r="98" spans="3:16" ht="12.75" x14ac:dyDescent="0.2">
      <c r="C98" s="6"/>
      <c r="D98" s="55" t="s">
        <v>196</v>
      </c>
      <c r="E98" s="48" t="s">
        <v>197</v>
      </c>
      <c r="F98" s="22" t="s">
        <v>198</v>
      </c>
      <c r="G98" s="23">
        <f t="shared" si="0"/>
        <v>0</v>
      </c>
      <c r="H98" s="56"/>
      <c r="I98" s="56"/>
      <c r="J98" s="56"/>
      <c r="K98" s="56"/>
      <c r="L98" s="13"/>
      <c r="M98" s="24"/>
      <c r="P98" s="25">
        <v>740</v>
      </c>
    </row>
    <row r="99" spans="3:16" ht="12.75" x14ac:dyDescent="0.2">
      <c r="C99" s="6"/>
      <c r="D99" s="55" t="s">
        <v>199</v>
      </c>
      <c r="E99" s="21" t="s">
        <v>200</v>
      </c>
      <c r="F99" s="22" t="s">
        <v>201</v>
      </c>
      <c r="G99" s="23">
        <f t="shared" si="0"/>
        <v>0</v>
      </c>
      <c r="H99" s="57">
        <f>H100+H116</f>
        <v>0</v>
      </c>
      <c r="I99" s="57">
        <f>I100+I116</f>
        <v>0</v>
      </c>
      <c r="J99" s="57">
        <f>J100+J116</f>
        <v>0</v>
      </c>
      <c r="K99" s="57">
        <f>K100+K116</f>
        <v>0</v>
      </c>
      <c r="L99" s="13"/>
      <c r="M99" s="24"/>
      <c r="P99" s="25">
        <v>750</v>
      </c>
    </row>
    <row r="100" spans="3:16" ht="12.75" x14ac:dyDescent="0.2">
      <c r="C100" s="6"/>
      <c r="D100" s="55" t="s">
        <v>202</v>
      </c>
      <c r="E100" s="26" t="s">
        <v>203</v>
      </c>
      <c r="F100" s="22" t="s">
        <v>204</v>
      </c>
      <c r="G100" s="23">
        <f t="shared" si="0"/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57">
        <f>K101+K102</f>
        <v>0</v>
      </c>
      <c r="L100" s="13"/>
      <c r="M100" s="24"/>
      <c r="P100" s="25">
        <v>760</v>
      </c>
    </row>
    <row r="101" spans="3:16" ht="12.75" x14ac:dyDescent="0.2">
      <c r="C101" s="6"/>
      <c r="D101" s="55" t="s">
        <v>205</v>
      </c>
      <c r="E101" s="48" t="s">
        <v>206</v>
      </c>
      <c r="F101" s="22" t="s">
        <v>207</v>
      </c>
      <c r="G101" s="23">
        <f t="shared" si="0"/>
        <v>0</v>
      </c>
      <c r="H101" s="56"/>
      <c r="I101" s="56"/>
      <c r="J101" s="56"/>
      <c r="K101" s="56"/>
      <c r="L101" s="13"/>
      <c r="M101" s="24"/>
      <c r="P101" s="25"/>
    </row>
    <row r="102" spans="3:16" ht="12.75" x14ac:dyDescent="0.2">
      <c r="C102" s="6"/>
      <c r="D102" s="55" t="s">
        <v>208</v>
      </c>
      <c r="E102" s="48" t="s">
        <v>209</v>
      </c>
      <c r="F102" s="22" t="s">
        <v>210</v>
      </c>
      <c r="G102" s="23">
        <f t="shared" si="0"/>
        <v>0</v>
      </c>
      <c r="H102" s="57">
        <f>H103+H106+H109+H112+H113+H114+H115</f>
        <v>0</v>
      </c>
      <c r="I102" s="57">
        <f>I103+I106+I109+I112+I113+I114+I115</f>
        <v>0</v>
      </c>
      <c r="J102" s="57">
        <f>J103+J106+J109+J112+J113+J114+J115</f>
        <v>0</v>
      </c>
      <c r="K102" s="57">
        <f>K103+K106+K109+K112+K113+K114+K115</f>
        <v>0</v>
      </c>
      <c r="L102" s="13"/>
      <c r="M102" s="24"/>
      <c r="P102" s="25"/>
    </row>
    <row r="103" spans="3:16" ht="33.75" x14ac:dyDescent="0.2">
      <c r="C103" s="6"/>
      <c r="D103" s="55" t="s">
        <v>211</v>
      </c>
      <c r="E103" s="49" t="s">
        <v>212</v>
      </c>
      <c r="F103" s="22" t="s">
        <v>213</v>
      </c>
      <c r="G103" s="23">
        <f t="shared" si="0"/>
        <v>0</v>
      </c>
      <c r="H103" s="58">
        <f>H104+H105</f>
        <v>0</v>
      </c>
      <c r="I103" s="58">
        <f>I104+I105</f>
        <v>0</v>
      </c>
      <c r="J103" s="58">
        <f>J104+J105</f>
        <v>0</v>
      </c>
      <c r="K103" s="58">
        <f>K104+K105</f>
        <v>0</v>
      </c>
      <c r="L103" s="13"/>
      <c r="M103" s="24"/>
      <c r="P103" s="25"/>
    </row>
    <row r="104" spans="3:16" ht="12.75" x14ac:dyDescent="0.2">
      <c r="C104" s="6"/>
      <c r="D104" s="55" t="s">
        <v>214</v>
      </c>
      <c r="E104" s="59" t="s">
        <v>215</v>
      </c>
      <c r="F104" s="22" t="s">
        <v>216</v>
      </c>
      <c r="G104" s="23">
        <f t="shared" si="0"/>
        <v>0</v>
      </c>
      <c r="H104" s="56"/>
      <c r="I104" s="56"/>
      <c r="J104" s="56"/>
      <c r="K104" s="56"/>
      <c r="L104" s="13"/>
      <c r="M104" s="24"/>
      <c r="P104" s="25"/>
    </row>
    <row r="105" spans="3:16" ht="12.75" x14ac:dyDescent="0.2">
      <c r="C105" s="6"/>
      <c r="D105" s="55" t="s">
        <v>217</v>
      </c>
      <c r="E105" s="59" t="s">
        <v>218</v>
      </c>
      <c r="F105" s="22" t="s">
        <v>219</v>
      </c>
      <c r="G105" s="23">
        <f t="shared" si="0"/>
        <v>0</v>
      </c>
      <c r="H105" s="56"/>
      <c r="I105" s="56"/>
      <c r="J105" s="56"/>
      <c r="K105" s="56"/>
      <c r="L105" s="13"/>
      <c r="M105" s="24"/>
      <c r="P105" s="25"/>
    </row>
    <row r="106" spans="3:16" ht="33.75" x14ac:dyDescent="0.2">
      <c r="C106" s="6"/>
      <c r="D106" s="55" t="s">
        <v>220</v>
      </c>
      <c r="E106" s="49" t="s">
        <v>221</v>
      </c>
      <c r="F106" s="22" t="s">
        <v>222</v>
      </c>
      <c r="G106" s="23">
        <f t="shared" si="0"/>
        <v>0</v>
      </c>
      <c r="H106" s="58">
        <f>H107+H108</f>
        <v>0</v>
      </c>
      <c r="I106" s="58">
        <f>I107+I108</f>
        <v>0</v>
      </c>
      <c r="J106" s="58">
        <f>J107+J108</f>
        <v>0</v>
      </c>
      <c r="K106" s="58">
        <f>K107+K108</f>
        <v>0</v>
      </c>
      <c r="L106" s="13"/>
      <c r="M106" s="24"/>
      <c r="P106" s="25"/>
    </row>
    <row r="107" spans="3:16" ht="12.75" x14ac:dyDescent="0.2">
      <c r="C107" s="6"/>
      <c r="D107" s="55" t="s">
        <v>223</v>
      </c>
      <c r="E107" s="59" t="s">
        <v>215</v>
      </c>
      <c r="F107" s="22" t="s">
        <v>224</v>
      </c>
      <c r="G107" s="23">
        <f t="shared" si="0"/>
        <v>0</v>
      </c>
      <c r="H107" s="56"/>
      <c r="I107" s="56"/>
      <c r="J107" s="56"/>
      <c r="K107" s="56"/>
      <c r="L107" s="13"/>
      <c r="M107" s="24"/>
      <c r="P107" s="25"/>
    </row>
    <row r="108" spans="3:16" ht="12.75" x14ac:dyDescent="0.2">
      <c r="C108" s="6"/>
      <c r="D108" s="55" t="s">
        <v>225</v>
      </c>
      <c r="E108" s="59" t="s">
        <v>218</v>
      </c>
      <c r="F108" s="22" t="s">
        <v>226</v>
      </c>
      <c r="G108" s="23">
        <f t="shared" si="0"/>
        <v>0</v>
      </c>
      <c r="H108" s="56"/>
      <c r="I108" s="56"/>
      <c r="J108" s="56"/>
      <c r="K108" s="56"/>
      <c r="L108" s="13"/>
      <c r="M108" s="24"/>
      <c r="P108" s="25"/>
    </row>
    <row r="109" spans="3:16" ht="22.5" x14ac:dyDescent="0.2">
      <c r="C109" s="6"/>
      <c r="D109" s="55" t="s">
        <v>227</v>
      </c>
      <c r="E109" s="49" t="s">
        <v>228</v>
      </c>
      <c r="F109" s="22" t="s">
        <v>229</v>
      </c>
      <c r="G109" s="23">
        <f t="shared" si="0"/>
        <v>0</v>
      </c>
      <c r="H109" s="58">
        <f>H110+H111</f>
        <v>0</v>
      </c>
      <c r="I109" s="58">
        <f>I110+I111</f>
        <v>0</v>
      </c>
      <c r="J109" s="58">
        <f>J110+J111</f>
        <v>0</v>
      </c>
      <c r="K109" s="58">
        <f>K110+K111</f>
        <v>0</v>
      </c>
      <c r="L109" s="13"/>
      <c r="M109" s="24"/>
      <c r="P109" s="25"/>
    </row>
    <row r="110" spans="3:16" ht="12.75" x14ac:dyDescent="0.2">
      <c r="C110" s="6"/>
      <c r="D110" s="55" t="s">
        <v>230</v>
      </c>
      <c r="E110" s="59" t="s">
        <v>215</v>
      </c>
      <c r="F110" s="22" t="s">
        <v>231</v>
      </c>
      <c r="G110" s="23">
        <f t="shared" si="0"/>
        <v>0</v>
      </c>
      <c r="H110" s="56"/>
      <c r="I110" s="56"/>
      <c r="J110" s="56"/>
      <c r="K110" s="56"/>
      <c r="L110" s="13"/>
      <c r="M110" s="24"/>
      <c r="P110" s="25"/>
    </row>
    <row r="111" spans="3:16" ht="12.75" x14ac:dyDescent="0.2">
      <c r="C111" s="6"/>
      <c r="D111" s="55" t="s">
        <v>232</v>
      </c>
      <c r="E111" s="59" t="s">
        <v>218</v>
      </c>
      <c r="F111" s="22" t="s">
        <v>233</v>
      </c>
      <c r="G111" s="23">
        <f t="shared" si="0"/>
        <v>0</v>
      </c>
      <c r="H111" s="56"/>
      <c r="I111" s="56"/>
      <c r="J111" s="56"/>
      <c r="K111" s="56"/>
      <c r="L111" s="13"/>
      <c r="M111" s="24"/>
      <c r="P111" s="25"/>
    </row>
    <row r="112" spans="3:16" ht="12.75" x14ac:dyDescent="0.2">
      <c r="C112" s="6"/>
      <c r="D112" s="55" t="s">
        <v>234</v>
      </c>
      <c r="E112" s="49" t="s">
        <v>235</v>
      </c>
      <c r="F112" s="22" t="s">
        <v>236</v>
      </c>
      <c r="G112" s="23">
        <f t="shared" si="0"/>
        <v>0</v>
      </c>
      <c r="H112" s="56"/>
      <c r="I112" s="56"/>
      <c r="J112" s="56"/>
      <c r="K112" s="56"/>
      <c r="L112" s="13"/>
      <c r="M112" s="24"/>
      <c r="P112" s="25"/>
    </row>
    <row r="113" spans="3:16" ht="12.75" x14ac:dyDescent="0.2">
      <c r="C113" s="6"/>
      <c r="D113" s="55" t="s">
        <v>237</v>
      </c>
      <c r="E113" s="49" t="s">
        <v>238</v>
      </c>
      <c r="F113" s="22" t="s">
        <v>239</v>
      </c>
      <c r="G113" s="23">
        <f t="shared" si="0"/>
        <v>0</v>
      </c>
      <c r="H113" s="56"/>
      <c r="I113" s="56"/>
      <c r="J113" s="56"/>
      <c r="K113" s="56"/>
      <c r="L113" s="13"/>
      <c r="M113" s="24"/>
      <c r="P113" s="25"/>
    </row>
    <row r="114" spans="3:16" ht="33.75" x14ac:dyDescent="0.2">
      <c r="C114" s="6"/>
      <c r="D114" s="55" t="s">
        <v>240</v>
      </c>
      <c r="E114" s="49" t="s">
        <v>241</v>
      </c>
      <c r="F114" s="22" t="s">
        <v>242</v>
      </c>
      <c r="G114" s="23">
        <f t="shared" si="0"/>
        <v>0</v>
      </c>
      <c r="H114" s="56"/>
      <c r="I114" s="56"/>
      <c r="J114" s="56"/>
      <c r="K114" s="56"/>
      <c r="L114" s="13"/>
      <c r="M114" s="24"/>
      <c r="P114" s="25"/>
    </row>
    <row r="115" spans="3:16" ht="22.5" x14ac:dyDescent="0.2">
      <c r="C115" s="6"/>
      <c r="D115" s="55" t="s">
        <v>243</v>
      </c>
      <c r="E115" s="49" t="s">
        <v>244</v>
      </c>
      <c r="F115" s="22" t="s">
        <v>245</v>
      </c>
      <c r="G115" s="23">
        <f t="shared" si="0"/>
        <v>0</v>
      </c>
      <c r="H115" s="56"/>
      <c r="I115" s="56"/>
      <c r="J115" s="56"/>
      <c r="K115" s="56"/>
      <c r="L115" s="13"/>
      <c r="M115" s="24"/>
      <c r="P115" s="25"/>
    </row>
    <row r="116" spans="3:16" ht="12.75" x14ac:dyDescent="0.2">
      <c r="C116" s="6"/>
      <c r="D116" s="55" t="s">
        <v>246</v>
      </c>
      <c r="E116" s="26" t="s">
        <v>247</v>
      </c>
      <c r="F116" s="22" t="s">
        <v>248</v>
      </c>
      <c r="G116" s="23">
        <f t="shared" si="0"/>
        <v>0</v>
      </c>
      <c r="H116" s="57">
        <f>H119</f>
        <v>0</v>
      </c>
      <c r="I116" s="57">
        <f>I119</f>
        <v>0</v>
      </c>
      <c r="J116" s="57">
        <f>J119</f>
        <v>0</v>
      </c>
      <c r="K116" s="57">
        <f>K119</f>
        <v>0</v>
      </c>
      <c r="L116" s="13"/>
      <c r="M116" s="24"/>
      <c r="P116" s="25">
        <v>770</v>
      </c>
    </row>
    <row r="117" spans="3:16" ht="12.75" x14ac:dyDescent="0.2">
      <c r="C117" s="6"/>
      <c r="D117" s="55" t="s">
        <v>249</v>
      </c>
      <c r="E117" s="48" t="s">
        <v>191</v>
      </c>
      <c r="F117" s="22" t="s">
        <v>250</v>
      </c>
      <c r="G117" s="23">
        <f t="shared" si="0"/>
        <v>0</v>
      </c>
      <c r="H117" s="56"/>
      <c r="I117" s="56"/>
      <c r="J117" s="56"/>
      <c r="K117" s="56"/>
      <c r="L117" s="13"/>
      <c r="M117" s="24"/>
      <c r="P117" s="25">
        <v>780</v>
      </c>
    </row>
    <row r="118" spans="3:16" ht="12.75" x14ac:dyDescent="0.2">
      <c r="C118" s="6"/>
      <c r="D118" s="55" t="s">
        <v>251</v>
      </c>
      <c r="E118" s="49" t="s">
        <v>252</v>
      </c>
      <c r="F118" s="22" t="s">
        <v>253</v>
      </c>
      <c r="G118" s="23">
        <f t="shared" si="0"/>
        <v>0</v>
      </c>
      <c r="H118" s="56"/>
      <c r="I118" s="56"/>
      <c r="J118" s="56"/>
      <c r="K118" s="56"/>
      <c r="L118" s="13"/>
      <c r="M118" s="24"/>
      <c r="P118" s="25"/>
    </row>
    <row r="119" spans="3:16" ht="12.75" x14ac:dyDescent="0.2">
      <c r="C119" s="6"/>
      <c r="D119" s="55" t="s">
        <v>254</v>
      </c>
      <c r="E119" s="48" t="s">
        <v>197</v>
      </c>
      <c r="F119" s="22" t="s">
        <v>255</v>
      </c>
      <c r="G119" s="23">
        <f t="shared" si="0"/>
        <v>0</v>
      </c>
      <c r="H119" s="56"/>
      <c r="I119" s="56"/>
      <c r="J119" s="56"/>
      <c r="K119" s="56"/>
      <c r="L119" s="13"/>
      <c r="M119" s="24"/>
      <c r="P119" s="25">
        <v>790</v>
      </c>
    </row>
    <row r="120" spans="3:16" ht="12.75" x14ac:dyDescent="0.2">
      <c r="C120" s="6"/>
      <c r="D120" s="55" t="s">
        <v>256</v>
      </c>
      <c r="E120" s="46" t="s">
        <v>257</v>
      </c>
      <c r="F120" s="22" t="s">
        <v>258</v>
      </c>
      <c r="G120" s="23">
        <f t="shared" si="0"/>
        <v>2402.4680000000003</v>
      </c>
      <c r="H120" s="57">
        <f>SUM(H121:H122)</f>
        <v>0</v>
      </c>
      <c r="I120" s="57">
        <f>SUM(I121:I122)</f>
        <v>0</v>
      </c>
      <c r="J120" s="57">
        <f>SUM(J121:J122)</f>
        <v>161.755</v>
      </c>
      <c r="K120" s="57">
        <f>SUM(K121:K122)</f>
        <v>2240.7130000000002</v>
      </c>
      <c r="L120" s="13"/>
      <c r="M120" s="24"/>
      <c r="P120" s="25"/>
    </row>
    <row r="121" spans="3:16" ht="12.75" x14ac:dyDescent="0.2">
      <c r="C121" s="6"/>
      <c r="D121" s="55" t="s">
        <v>259</v>
      </c>
      <c r="E121" s="26" t="s">
        <v>185</v>
      </c>
      <c r="F121" s="22" t="s">
        <v>260</v>
      </c>
      <c r="G121" s="23">
        <f t="shared" si="0"/>
        <v>2402.4680000000003</v>
      </c>
      <c r="H121" s="56"/>
      <c r="I121" s="56"/>
      <c r="J121" s="56">
        <f>J36</f>
        <v>161.755</v>
      </c>
      <c r="K121" s="56">
        <f>K36</f>
        <v>2240.7130000000002</v>
      </c>
      <c r="L121" s="13"/>
      <c r="M121" s="24"/>
      <c r="P121" s="25"/>
    </row>
    <row r="122" spans="3:16" ht="12.75" x14ac:dyDescent="0.2">
      <c r="C122" s="6"/>
      <c r="D122" s="55" t="s">
        <v>261</v>
      </c>
      <c r="E122" s="26" t="s">
        <v>188</v>
      </c>
      <c r="F122" s="22" t="s">
        <v>262</v>
      </c>
      <c r="G122" s="23">
        <f t="shared" si="0"/>
        <v>0</v>
      </c>
      <c r="H122" s="57">
        <f>H124</f>
        <v>0</v>
      </c>
      <c r="I122" s="57">
        <f>I124</f>
        <v>0</v>
      </c>
      <c r="J122" s="57">
        <f>J124</f>
        <v>0</v>
      </c>
      <c r="K122" s="57">
        <f>K124</f>
        <v>0</v>
      </c>
      <c r="L122" s="13"/>
      <c r="M122" s="24"/>
      <c r="P122" s="25"/>
    </row>
    <row r="123" spans="3:16" ht="12.75" x14ac:dyDescent="0.2">
      <c r="C123" s="6"/>
      <c r="D123" s="55" t="s">
        <v>263</v>
      </c>
      <c r="E123" s="48" t="s">
        <v>264</v>
      </c>
      <c r="F123" s="22" t="s">
        <v>265</v>
      </c>
      <c r="G123" s="23">
        <f t="shared" si="0"/>
        <v>0</v>
      </c>
      <c r="H123" s="56"/>
      <c r="I123" s="56"/>
      <c r="J123" s="56"/>
      <c r="K123" s="56"/>
      <c r="L123" s="13"/>
      <c r="M123" s="24"/>
      <c r="P123" s="25"/>
    </row>
    <row r="124" spans="3:16" ht="12.75" x14ac:dyDescent="0.2">
      <c r="C124" s="6"/>
      <c r="D124" s="55" t="s">
        <v>266</v>
      </c>
      <c r="E124" s="48" t="s">
        <v>197</v>
      </c>
      <c r="F124" s="22" t="s">
        <v>267</v>
      </c>
      <c r="G124" s="23">
        <f t="shared" si="0"/>
        <v>0</v>
      </c>
      <c r="H124" s="56"/>
      <c r="I124" s="56"/>
      <c r="J124" s="56"/>
      <c r="K124" s="56"/>
      <c r="L124" s="13"/>
      <c r="M124" s="24"/>
      <c r="P124" s="25"/>
    </row>
    <row r="125" spans="3:16" ht="12.75" x14ac:dyDescent="0.2">
      <c r="C125" s="6"/>
      <c r="D125" s="87" t="s">
        <v>268</v>
      </c>
      <c r="E125" s="88"/>
      <c r="F125" s="88"/>
      <c r="G125" s="88"/>
      <c r="H125" s="88"/>
      <c r="I125" s="88"/>
      <c r="J125" s="88"/>
      <c r="K125" s="89"/>
      <c r="L125" s="13"/>
      <c r="M125" s="24"/>
      <c r="P125" s="60"/>
    </row>
    <row r="126" spans="3:16" ht="22.5" x14ac:dyDescent="0.2">
      <c r="C126" s="6"/>
      <c r="D126" s="55" t="s">
        <v>269</v>
      </c>
      <c r="E126" s="21" t="s">
        <v>270</v>
      </c>
      <c r="F126" s="22" t="s">
        <v>271</v>
      </c>
      <c r="G126" s="23">
        <f t="shared" si="0"/>
        <v>0</v>
      </c>
      <c r="H126" s="57">
        <f>SUM( H127:H128)</f>
        <v>0</v>
      </c>
      <c r="I126" s="57">
        <f>SUM( I127:I128)</f>
        <v>0</v>
      </c>
      <c r="J126" s="57">
        <f>SUM( J127:J128)</f>
        <v>0</v>
      </c>
      <c r="K126" s="57">
        <f>SUM( K127:K128)</f>
        <v>0</v>
      </c>
      <c r="L126" s="13"/>
      <c r="M126" s="24"/>
      <c r="P126" s="25">
        <v>800</v>
      </c>
    </row>
    <row r="127" spans="3:16" ht="12.75" x14ac:dyDescent="0.2">
      <c r="C127" s="6"/>
      <c r="D127" s="55" t="s">
        <v>272</v>
      </c>
      <c r="E127" s="26" t="s">
        <v>185</v>
      </c>
      <c r="F127" s="22" t="s">
        <v>273</v>
      </c>
      <c r="G127" s="23">
        <f t="shared" si="0"/>
        <v>0</v>
      </c>
      <c r="H127" s="56"/>
      <c r="I127" s="56"/>
      <c r="J127" s="56"/>
      <c r="K127" s="56"/>
      <c r="L127" s="13"/>
      <c r="M127" s="24"/>
      <c r="P127" s="25">
        <v>810</v>
      </c>
    </row>
    <row r="128" spans="3:16" ht="12.75" x14ac:dyDescent="0.2">
      <c r="C128" s="6"/>
      <c r="D128" s="55" t="s">
        <v>274</v>
      </c>
      <c r="E128" s="26" t="s">
        <v>188</v>
      </c>
      <c r="F128" s="22" t="s">
        <v>275</v>
      </c>
      <c r="G128" s="23">
        <f t="shared" si="0"/>
        <v>0</v>
      </c>
      <c r="H128" s="57">
        <f>H129+H131</f>
        <v>0</v>
      </c>
      <c r="I128" s="57">
        <f>I129+I131</f>
        <v>0</v>
      </c>
      <c r="J128" s="57">
        <f>J129+J131</f>
        <v>0</v>
      </c>
      <c r="K128" s="57">
        <f>K129+K131</f>
        <v>0</v>
      </c>
      <c r="L128" s="13"/>
      <c r="M128" s="24"/>
      <c r="P128" s="25">
        <v>820</v>
      </c>
    </row>
    <row r="129" spans="3:16" ht="12.75" x14ac:dyDescent="0.2">
      <c r="C129" s="6"/>
      <c r="D129" s="55" t="s">
        <v>276</v>
      </c>
      <c r="E129" s="48" t="s">
        <v>277</v>
      </c>
      <c r="F129" s="22" t="s">
        <v>278</v>
      </c>
      <c r="G129" s="23">
        <f t="shared" si="0"/>
        <v>0</v>
      </c>
      <c r="H129" s="56"/>
      <c r="I129" s="56"/>
      <c r="J129" s="56"/>
      <c r="K129" s="56"/>
      <c r="L129" s="13"/>
      <c r="M129" s="24"/>
      <c r="P129" s="25">
        <v>830</v>
      </c>
    </row>
    <row r="130" spans="3:16" ht="12.75" x14ac:dyDescent="0.2">
      <c r="C130" s="6"/>
      <c r="D130" s="55" t="s">
        <v>279</v>
      </c>
      <c r="E130" s="49" t="s">
        <v>280</v>
      </c>
      <c r="F130" s="22" t="s">
        <v>281</v>
      </c>
      <c r="G130" s="23">
        <f t="shared" si="0"/>
        <v>0</v>
      </c>
      <c r="H130" s="56"/>
      <c r="I130" s="56"/>
      <c r="J130" s="56"/>
      <c r="K130" s="56"/>
      <c r="L130" s="13"/>
      <c r="M130" s="24"/>
      <c r="P130" s="60"/>
    </row>
    <row r="131" spans="3:16" ht="12.75" x14ac:dyDescent="0.2">
      <c r="C131" s="6"/>
      <c r="D131" s="55" t="s">
        <v>282</v>
      </c>
      <c r="E131" s="48" t="s">
        <v>283</v>
      </c>
      <c r="F131" s="22" t="s">
        <v>284</v>
      </c>
      <c r="G131" s="23">
        <f t="shared" si="0"/>
        <v>0</v>
      </c>
      <c r="H131" s="56"/>
      <c r="I131" s="56"/>
      <c r="J131" s="56"/>
      <c r="K131" s="56"/>
      <c r="L131" s="13"/>
      <c r="M131" s="24"/>
      <c r="P131" s="25">
        <v>840</v>
      </c>
    </row>
    <row r="132" spans="3:16" ht="12.75" x14ac:dyDescent="0.2">
      <c r="C132" s="6"/>
      <c r="D132" s="55" t="s">
        <v>30</v>
      </c>
      <c r="E132" s="21" t="s">
        <v>285</v>
      </c>
      <c r="F132" s="22" t="s">
        <v>286</v>
      </c>
      <c r="G132" s="23">
        <f t="shared" si="0"/>
        <v>0</v>
      </c>
      <c r="H132" s="58">
        <f>SUM( H133+H138)</f>
        <v>0</v>
      </c>
      <c r="I132" s="58">
        <f>SUM( I133+I138)</f>
        <v>0</v>
      </c>
      <c r="J132" s="58">
        <f>SUM( J133+J138)</f>
        <v>0</v>
      </c>
      <c r="K132" s="58">
        <f>SUM( K133+K138)</f>
        <v>0</v>
      </c>
      <c r="L132" s="61"/>
      <c r="M132" s="24"/>
      <c r="P132" s="25">
        <v>850</v>
      </c>
    </row>
    <row r="133" spans="3:16" ht="12.75" x14ac:dyDescent="0.2">
      <c r="C133" s="6"/>
      <c r="D133" s="55" t="s">
        <v>287</v>
      </c>
      <c r="E133" s="26" t="s">
        <v>185</v>
      </c>
      <c r="F133" s="22" t="s">
        <v>288</v>
      </c>
      <c r="G133" s="23">
        <f t="shared" ref="G133:G146" si="1">SUM(H133:K133)</f>
        <v>0</v>
      </c>
      <c r="H133" s="58">
        <f>SUM( H134:H135)</f>
        <v>0</v>
      </c>
      <c r="I133" s="58">
        <f>SUM( I134:I135)</f>
        <v>0</v>
      </c>
      <c r="J133" s="58">
        <f>SUM( J134:J135)</f>
        <v>0</v>
      </c>
      <c r="K133" s="58">
        <f>SUM( K134:K135)</f>
        <v>0</v>
      </c>
      <c r="L133" s="61"/>
      <c r="M133" s="24"/>
      <c r="P133" s="25">
        <v>860</v>
      </c>
    </row>
    <row r="134" spans="3:16" ht="12.75" x14ac:dyDescent="0.2">
      <c r="C134" s="6"/>
      <c r="D134" s="55" t="s">
        <v>289</v>
      </c>
      <c r="E134" s="48" t="s">
        <v>206</v>
      </c>
      <c r="F134" s="22" t="s">
        <v>290</v>
      </c>
      <c r="G134" s="23">
        <f t="shared" si="1"/>
        <v>0</v>
      </c>
      <c r="H134" s="62"/>
      <c r="I134" s="62"/>
      <c r="J134" s="62"/>
      <c r="K134" s="62"/>
      <c r="L134" s="61"/>
      <c r="M134" s="24"/>
      <c r="P134" s="25"/>
    </row>
    <row r="135" spans="3:16" ht="12.75" x14ac:dyDescent="0.2">
      <c r="C135" s="6"/>
      <c r="D135" s="55" t="s">
        <v>291</v>
      </c>
      <c r="E135" s="48" t="s">
        <v>209</v>
      </c>
      <c r="F135" s="22" t="s">
        <v>292</v>
      </c>
      <c r="G135" s="23">
        <f t="shared" si="1"/>
        <v>0</v>
      </c>
      <c r="H135" s="58">
        <f>H136+H137</f>
        <v>0</v>
      </c>
      <c r="I135" s="58">
        <f>I136+I137</f>
        <v>0</v>
      </c>
      <c r="J135" s="58">
        <f>J136+J137</f>
        <v>0</v>
      </c>
      <c r="K135" s="58">
        <f>K136+K137</f>
        <v>0</v>
      </c>
      <c r="L135" s="61"/>
      <c r="M135" s="24"/>
      <c r="P135" s="25"/>
    </row>
    <row r="136" spans="3:16" ht="12.75" x14ac:dyDescent="0.2">
      <c r="C136" s="6"/>
      <c r="D136" s="55" t="s">
        <v>293</v>
      </c>
      <c r="E136" s="49" t="s">
        <v>215</v>
      </c>
      <c r="F136" s="22" t="s">
        <v>294</v>
      </c>
      <c r="G136" s="23">
        <f t="shared" si="1"/>
        <v>0</v>
      </c>
      <c r="H136" s="62"/>
      <c r="I136" s="62"/>
      <c r="J136" s="62"/>
      <c r="K136" s="62"/>
      <c r="L136" s="61"/>
      <c r="M136" s="24"/>
      <c r="P136" s="25"/>
    </row>
    <row r="137" spans="3:16" ht="12.75" x14ac:dyDescent="0.2">
      <c r="C137" s="6"/>
      <c r="D137" s="55" t="s">
        <v>295</v>
      </c>
      <c r="E137" s="49" t="s">
        <v>296</v>
      </c>
      <c r="F137" s="22" t="s">
        <v>297</v>
      </c>
      <c r="G137" s="23">
        <f t="shared" si="1"/>
        <v>0</v>
      </c>
      <c r="H137" s="62"/>
      <c r="I137" s="62"/>
      <c r="J137" s="62"/>
      <c r="K137" s="62"/>
      <c r="L137" s="61"/>
      <c r="M137" s="24"/>
      <c r="P137" s="25"/>
    </row>
    <row r="138" spans="3:16" ht="12.75" x14ac:dyDescent="0.2">
      <c r="C138" s="6"/>
      <c r="D138" s="55" t="s">
        <v>298</v>
      </c>
      <c r="E138" s="26" t="s">
        <v>247</v>
      </c>
      <c r="F138" s="22" t="s">
        <v>299</v>
      </c>
      <c r="G138" s="23">
        <f t="shared" si="1"/>
        <v>0</v>
      </c>
      <c r="H138" s="58">
        <f>H139+H141</f>
        <v>0</v>
      </c>
      <c r="I138" s="58">
        <f>I139+I141</f>
        <v>0</v>
      </c>
      <c r="J138" s="58">
        <f>J139+J141</f>
        <v>0</v>
      </c>
      <c r="K138" s="58">
        <f>K139+K141</f>
        <v>0</v>
      </c>
      <c r="L138" s="61"/>
      <c r="M138" s="24"/>
      <c r="P138" s="25">
        <v>870</v>
      </c>
    </row>
    <row r="139" spans="3:16" ht="12.75" x14ac:dyDescent="0.2">
      <c r="C139" s="6"/>
      <c r="D139" s="55" t="s">
        <v>300</v>
      </c>
      <c r="E139" s="48" t="s">
        <v>277</v>
      </c>
      <c r="F139" s="22" t="s">
        <v>301</v>
      </c>
      <c r="G139" s="23">
        <f t="shared" si="1"/>
        <v>0</v>
      </c>
      <c r="H139" s="56"/>
      <c r="I139" s="56"/>
      <c r="J139" s="56"/>
      <c r="K139" s="56"/>
      <c r="L139" s="61"/>
      <c r="M139" s="24"/>
      <c r="P139" s="25">
        <v>880</v>
      </c>
    </row>
    <row r="140" spans="3:16" ht="12.75" x14ac:dyDescent="0.2">
      <c r="C140" s="6"/>
      <c r="D140" s="55" t="s">
        <v>302</v>
      </c>
      <c r="E140" s="49" t="s">
        <v>280</v>
      </c>
      <c r="F140" s="22" t="s">
        <v>303</v>
      </c>
      <c r="G140" s="23">
        <f t="shared" si="1"/>
        <v>0</v>
      </c>
      <c r="H140" s="56"/>
      <c r="I140" s="56"/>
      <c r="J140" s="56"/>
      <c r="K140" s="56"/>
      <c r="L140" s="61"/>
      <c r="M140" s="24"/>
      <c r="P140" s="25"/>
    </row>
    <row r="141" spans="3:16" ht="12.75" x14ac:dyDescent="0.2">
      <c r="C141" s="6"/>
      <c r="D141" s="55" t="s">
        <v>304</v>
      </c>
      <c r="E141" s="48" t="s">
        <v>283</v>
      </c>
      <c r="F141" s="22" t="s">
        <v>305</v>
      </c>
      <c r="G141" s="23">
        <f t="shared" si="1"/>
        <v>0</v>
      </c>
      <c r="H141" s="63"/>
      <c r="I141" s="63"/>
      <c r="J141" s="63"/>
      <c r="K141" s="63"/>
      <c r="L141" s="61"/>
      <c r="M141" s="24"/>
      <c r="P141" s="25">
        <v>890</v>
      </c>
    </row>
    <row r="142" spans="3:16" ht="12.75" x14ac:dyDescent="0.2">
      <c r="C142" s="6"/>
      <c r="D142" s="55" t="s">
        <v>306</v>
      </c>
      <c r="E142" s="21" t="s">
        <v>307</v>
      </c>
      <c r="F142" s="22" t="s">
        <v>308</v>
      </c>
      <c r="G142" s="23">
        <f t="shared" si="1"/>
        <v>3497.9934080000003</v>
      </c>
      <c r="H142" s="64">
        <f>SUM( H143:H144)</f>
        <v>0</v>
      </c>
      <c r="I142" s="64">
        <f>SUM( I143:I144)</f>
        <v>0</v>
      </c>
      <c r="J142" s="64">
        <f>SUM( J143:J144)</f>
        <v>235.51527999999999</v>
      </c>
      <c r="K142" s="64">
        <f>SUM( K143:K144)</f>
        <v>3262.4781280000002</v>
      </c>
      <c r="L142" s="61"/>
      <c r="M142" s="24"/>
      <c r="P142" s="25">
        <v>900</v>
      </c>
    </row>
    <row r="143" spans="3:16" ht="12.75" x14ac:dyDescent="0.2">
      <c r="C143" s="6"/>
      <c r="D143" s="55" t="s">
        <v>309</v>
      </c>
      <c r="E143" s="26" t="s">
        <v>185</v>
      </c>
      <c r="F143" s="22" t="s">
        <v>310</v>
      </c>
      <c r="G143" s="23">
        <f t="shared" si="1"/>
        <v>3497.9934080000003</v>
      </c>
      <c r="H143" s="63"/>
      <c r="I143" s="63"/>
      <c r="J143" s="65">
        <f>J121*1.456</f>
        <v>235.51527999999999</v>
      </c>
      <c r="K143" s="65">
        <f>K121*1.456</f>
        <v>3262.4781280000002</v>
      </c>
      <c r="L143" s="61"/>
      <c r="M143" s="24"/>
      <c r="P143" s="25"/>
    </row>
    <row r="144" spans="3:16" ht="12.75" x14ac:dyDescent="0.2">
      <c r="C144" s="6"/>
      <c r="D144" s="55" t="s">
        <v>311</v>
      </c>
      <c r="E144" s="26" t="s">
        <v>188</v>
      </c>
      <c r="F144" s="22" t="s">
        <v>312</v>
      </c>
      <c r="G144" s="23">
        <f t="shared" si="1"/>
        <v>0</v>
      </c>
      <c r="H144" s="64">
        <f>H145+H146</f>
        <v>0</v>
      </c>
      <c r="I144" s="64">
        <f>I145+I146</f>
        <v>0</v>
      </c>
      <c r="J144" s="64">
        <f>J145+J146</f>
        <v>0</v>
      </c>
      <c r="K144" s="64">
        <f>K145+K146</f>
        <v>0</v>
      </c>
      <c r="L144" s="61"/>
      <c r="M144" s="24"/>
      <c r="P144" s="25"/>
    </row>
    <row r="145" spans="3:19" ht="12.75" x14ac:dyDescent="0.2">
      <c r="C145" s="6"/>
      <c r="D145" s="55" t="s">
        <v>313</v>
      </c>
      <c r="E145" s="48" t="s">
        <v>314</v>
      </c>
      <c r="F145" s="22" t="s">
        <v>315</v>
      </c>
      <c r="G145" s="23">
        <f t="shared" si="1"/>
        <v>0</v>
      </c>
      <c r="H145" s="63"/>
      <c r="I145" s="63"/>
      <c r="J145" s="63"/>
      <c r="K145" s="63"/>
      <c r="L145" s="61"/>
      <c r="M145" s="24"/>
      <c r="P145" s="25" t="s">
        <v>316</v>
      </c>
    </row>
    <row r="146" spans="3:19" ht="12.75" x14ac:dyDescent="0.2">
      <c r="C146" s="6"/>
      <c r="D146" s="55" t="s">
        <v>317</v>
      </c>
      <c r="E146" s="48" t="s">
        <v>283</v>
      </c>
      <c r="F146" s="22" t="s">
        <v>318</v>
      </c>
      <c r="G146" s="23">
        <f t="shared" si="1"/>
        <v>0</v>
      </c>
      <c r="H146" s="63"/>
      <c r="I146" s="63"/>
      <c r="J146" s="63"/>
      <c r="K146" s="66"/>
      <c r="L146" s="61"/>
      <c r="M146" s="24"/>
      <c r="P146" s="25" t="s">
        <v>319</v>
      </c>
    </row>
    <row r="147" spans="3:19" x14ac:dyDescent="0.25">
      <c r="D147" s="11"/>
      <c r="E147" s="67"/>
      <c r="F147" s="67"/>
      <c r="G147" s="67"/>
      <c r="H147" s="67"/>
      <c r="I147" s="67"/>
      <c r="J147" s="67"/>
      <c r="K147" s="68"/>
      <c r="L147" s="68"/>
      <c r="M147" s="68"/>
      <c r="N147" s="68"/>
      <c r="O147" s="68"/>
      <c r="P147" s="68"/>
      <c r="Q147" s="68"/>
      <c r="R147" s="69"/>
      <c r="S147" s="69"/>
    </row>
    <row r="148" spans="3:19" ht="12.75" x14ac:dyDescent="0.2">
      <c r="E148" s="24" t="s">
        <v>320</v>
      </c>
      <c r="F148" s="79" t="str">
        <f>IF([4]Титульный!G45="","",[4]Титульный!G45)</f>
        <v>Коммерческий директор</v>
      </c>
      <c r="G148" s="79"/>
      <c r="H148" s="70"/>
      <c r="I148" s="79" t="str">
        <f>IF([4]Титульный!G44="","",[4]Титульный!G44)</f>
        <v>Байков Алексей Александрович</v>
      </c>
      <c r="J148" s="79"/>
      <c r="K148" s="79"/>
      <c r="L148" s="70"/>
      <c r="M148" s="71"/>
      <c r="N148" s="71"/>
      <c r="O148" s="72"/>
      <c r="P148" s="68"/>
      <c r="Q148" s="68"/>
      <c r="R148" s="69"/>
      <c r="S148" s="69"/>
    </row>
    <row r="149" spans="3:19" ht="12.75" x14ac:dyDescent="0.2">
      <c r="E149" s="73" t="s">
        <v>321</v>
      </c>
      <c r="F149" s="78" t="s">
        <v>322</v>
      </c>
      <c r="G149" s="78"/>
      <c r="H149" s="72"/>
      <c r="I149" s="78" t="s">
        <v>323</v>
      </c>
      <c r="J149" s="78"/>
      <c r="K149" s="78"/>
      <c r="L149" s="72"/>
      <c r="M149" s="78" t="s">
        <v>324</v>
      </c>
      <c r="N149" s="78"/>
      <c r="O149" s="24"/>
      <c r="P149" s="68"/>
      <c r="Q149" s="68"/>
      <c r="R149" s="69"/>
      <c r="S149" s="69"/>
    </row>
    <row r="150" spans="3:19" ht="12.75" x14ac:dyDescent="0.2">
      <c r="E150" s="73" t="s">
        <v>325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68"/>
      <c r="Q150" s="68"/>
      <c r="R150" s="69"/>
      <c r="S150" s="69"/>
    </row>
    <row r="151" spans="3:19" ht="12.75" x14ac:dyDescent="0.2">
      <c r="E151" s="73" t="s">
        <v>326</v>
      </c>
      <c r="F151" s="79" t="str">
        <f>IF([4]Титульный!G46="","",[4]Титульный!G46)</f>
        <v>(495) 637 3220</v>
      </c>
      <c r="G151" s="79"/>
      <c r="H151" s="79"/>
      <c r="I151" s="24"/>
      <c r="J151" s="73" t="s">
        <v>327</v>
      </c>
      <c r="K151" s="74"/>
      <c r="L151" s="24"/>
      <c r="M151" s="24"/>
      <c r="N151" s="24"/>
      <c r="O151" s="24"/>
      <c r="P151" s="68"/>
      <c r="Q151" s="68"/>
      <c r="R151" s="69"/>
      <c r="S151" s="69"/>
    </row>
    <row r="152" spans="3:19" ht="12.75" x14ac:dyDescent="0.2">
      <c r="E152" s="24" t="s">
        <v>328</v>
      </c>
      <c r="F152" s="80" t="s">
        <v>329</v>
      </c>
      <c r="G152" s="80"/>
      <c r="H152" s="80"/>
      <c r="I152" s="24"/>
      <c r="J152" s="75" t="s">
        <v>330</v>
      </c>
      <c r="K152" s="75"/>
      <c r="L152" s="24"/>
      <c r="M152" s="24"/>
      <c r="N152" s="24"/>
      <c r="O152" s="24"/>
      <c r="P152" s="68"/>
      <c r="Q152" s="68"/>
      <c r="R152" s="69"/>
      <c r="S152" s="69"/>
    </row>
    <row r="153" spans="3:19" x14ac:dyDescent="0.25"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9"/>
      <c r="S153" s="69"/>
    </row>
    <row r="154" spans="3:19" x14ac:dyDescent="0.25"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9"/>
      <c r="S154" s="69"/>
    </row>
    <row r="155" spans="3:19" x14ac:dyDescent="0.25"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9"/>
      <c r="S155" s="69"/>
    </row>
    <row r="156" spans="3:19" x14ac:dyDescent="0.25"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9"/>
      <c r="S156" s="69"/>
    </row>
    <row r="157" spans="3:19" x14ac:dyDescent="0.25"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9"/>
      <c r="S157" s="69"/>
    </row>
    <row r="158" spans="3:19" x14ac:dyDescent="0.25"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9"/>
      <c r="S158" s="69"/>
    </row>
    <row r="159" spans="3:19" x14ac:dyDescent="0.25"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  <c r="S159" s="69"/>
    </row>
    <row r="160" spans="3:19" x14ac:dyDescent="0.25"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9"/>
      <c r="S160" s="69"/>
    </row>
    <row r="161" spans="5:19" x14ac:dyDescent="0.25"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9"/>
      <c r="S161" s="69"/>
    </row>
    <row r="162" spans="5:19" x14ac:dyDescent="0.25"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9"/>
      <c r="S162" s="69"/>
    </row>
    <row r="163" spans="5:19" x14ac:dyDescent="0.25"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9"/>
      <c r="S163" s="69"/>
    </row>
    <row r="164" spans="5:19" x14ac:dyDescent="0.25"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9"/>
      <c r="S164" s="69"/>
    </row>
    <row r="165" spans="5:19" x14ac:dyDescent="0.25"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9"/>
      <c r="S165" s="69"/>
    </row>
    <row r="166" spans="5:19" x14ac:dyDescent="0.25"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9"/>
      <c r="S166" s="69"/>
    </row>
    <row r="167" spans="5:19" x14ac:dyDescent="0.25"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9"/>
      <c r="S167" s="69"/>
    </row>
    <row r="168" spans="5:19" x14ac:dyDescent="0.25"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9"/>
      <c r="S168" s="69"/>
    </row>
    <row r="169" spans="5:19" x14ac:dyDescent="0.25"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9"/>
      <c r="S169" s="69"/>
    </row>
    <row r="170" spans="5:19" x14ac:dyDescent="0.25"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9"/>
      <c r="S170" s="69"/>
    </row>
    <row r="171" spans="5:19" x14ac:dyDescent="0.25"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9"/>
      <c r="S171" s="69"/>
    </row>
    <row r="172" spans="5:19" x14ac:dyDescent="0.25"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9"/>
      <c r="S172" s="69"/>
    </row>
    <row r="173" spans="5:19" x14ac:dyDescent="0.25"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9"/>
      <c r="S173" s="69"/>
    </row>
    <row r="174" spans="5:19" x14ac:dyDescent="0.25"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9"/>
      <c r="S174" s="69"/>
    </row>
    <row r="175" spans="5:19" x14ac:dyDescent="0.25"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9"/>
      <c r="S175" s="69"/>
    </row>
    <row r="176" spans="5:19" x14ac:dyDescent="0.25"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9"/>
      <c r="S176" s="69"/>
    </row>
    <row r="177" spans="5:19" x14ac:dyDescent="0.25"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9"/>
      <c r="S177" s="69"/>
    </row>
    <row r="178" spans="5:19" x14ac:dyDescent="0.25"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</row>
    <row r="179" spans="5:19" x14ac:dyDescent="0.25"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5:19" x14ac:dyDescent="0.25"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5:19" x14ac:dyDescent="0.25"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</sheetData>
  <mergeCells count="18">
    <mergeCell ref="F148:G148"/>
    <mergeCell ref="I148:K148"/>
    <mergeCell ref="D8:E8"/>
    <mergeCell ref="D11:D12"/>
    <mergeCell ref="E11:E12"/>
    <mergeCell ref="F11:F12"/>
    <mergeCell ref="G11:G12"/>
    <mergeCell ref="H11:K11"/>
    <mergeCell ref="D14:K14"/>
    <mergeCell ref="D51:K51"/>
    <mergeCell ref="D88:K88"/>
    <mergeCell ref="D92:K92"/>
    <mergeCell ref="D125:K125"/>
    <mergeCell ref="F149:G149"/>
    <mergeCell ref="I149:K149"/>
    <mergeCell ref="M149:N149"/>
    <mergeCell ref="F151:H151"/>
    <mergeCell ref="F152:H152"/>
  </mergeCells>
  <dataValidations count="2">
    <dataValidation allowBlank="1" showInputMessage="1" promptTitle="Ввод" prompt="Для выбора организации необходимо два раза нажать левую клавишу мыши!" sqref="E25 E62"/>
    <dataValidation type="decimal" allowBlank="1" showErrorMessage="1" errorTitle="Ошибка" error="Допускается ввод только действительных чисел!" sqref="G27:K40 G89:K91 G93:K124 G52:K55 G23:K25 G79:K87 G20:K21 G64:K77 G42:K50 G15:K18 G126:K146 G57:K58 G60:K6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81"/>
  <sheetViews>
    <sheetView topLeftCell="C7" workbookViewId="0">
      <selection activeCell="J143" sqref="J143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idden="1" x14ac:dyDescent="0.25">
      <c r="S1" s="2"/>
      <c r="T1" s="2"/>
      <c r="U1" s="2"/>
      <c r="V1" s="2"/>
      <c r="Y1" s="2"/>
      <c r="AN1" s="2"/>
      <c r="AO1" s="2"/>
      <c r="AP1" s="2"/>
      <c r="BC1" s="2"/>
      <c r="BF1" s="2"/>
      <c r="BI1" s="2"/>
      <c r="BJ1" s="2"/>
      <c r="BX1" s="2"/>
      <c r="BY1" s="2"/>
    </row>
    <row r="2" spans="1:77" hidden="1" x14ac:dyDescent="0.25"/>
    <row r="3" spans="1:77" hidden="1" x14ac:dyDescent="0.25"/>
    <row r="4" spans="1:77" hidden="1" x14ac:dyDescent="0.2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idden="1" x14ac:dyDescent="0.2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idden="1" x14ac:dyDescent="0.25">
      <c r="A6" s="5"/>
    </row>
    <row r="7" spans="1:77" ht="12" customHeight="1" x14ac:dyDescent="0.25">
      <c r="A7" s="5"/>
      <c r="D7" s="6"/>
      <c r="E7" s="6"/>
      <c r="F7" s="6"/>
      <c r="G7" s="6"/>
      <c r="H7" s="6"/>
      <c r="I7" s="6"/>
      <c r="J7" s="6"/>
      <c r="K7" s="7"/>
      <c r="Q7" s="8"/>
    </row>
    <row r="8" spans="1:77" ht="22.5" customHeight="1" x14ac:dyDescent="0.25">
      <c r="A8" s="5"/>
      <c r="D8" s="81" t="s">
        <v>11</v>
      </c>
      <c r="E8" s="8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77" x14ac:dyDescent="0.25">
      <c r="A9" s="5"/>
      <c r="D9" s="10" t="str">
        <f>IF(org="","Не определено",org)</f>
        <v>ЗАО "Коттон Вэй"</v>
      </c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77" ht="12" customHeight="1" x14ac:dyDescent="0.25">
      <c r="D10" s="11"/>
      <c r="E10" s="11"/>
      <c r="F10" s="6"/>
      <c r="G10" s="6"/>
      <c r="H10" s="6"/>
      <c r="I10" s="6"/>
      <c r="K10" s="12" t="s">
        <v>12</v>
      </c>
    </row>
    <row r="11" spans="1:77" ht="15" customHeight="1" x14ac:dyDescent="0.25">
      <c r="C11" s="6"/>
      <c r="D11" s="82" t="s">
        <v>13</v>
      </c>
      <c r="E11" s="84" t="s">
        <v>14</v>
      </c>
      <c r="F11" s="84" t="s">
        <v>15</v>
      </c>
      <c r="G11" s="84" t="s">
        <v>16</v>
      </c>
      <c r="H11" s="84" t="s">
        <v>17</v>
      </c>
      <c r="I11" s="84"/>
      <c r="J11" s="84"/>
      <c r="K11" s="86"/>
      <c r="L11" s="13"/>
    </row>
    <row r="12" spans="1:77" ht="15" customHeight="1" x14ac:dyDescent="0.25">
      <c r="C12" s="6"/>
      <c r="D12" s="83"/>
      <c r="E12" s="85"/>
      <c r="F12" s="85"/>
      <c r="G12" s="85"/>
      <c r="H12" s="14" t="s">
        <v>18</v>
      </c>
      <c r="I12" s="14" t="s">
        <v>19</v>
      </c>
      <c r="J12" s="14" t="s">
        <v>20</v>
      </c>
      <c r="K12" s="15" t="s">
        <v>21</v>
      </c>
      <c r="L12" s="13"/>
    </row>
    <row r="13" spans="1:77" ht="12" customHeight="1" x14ac:dyDescent="0.25">
      <c r="D13" s="16">
        <v>0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</row>
    <row r="14" spans="1:77" s="17" customFormat="1" ht="15" customHeight="1" x14ac:dyDescent="0.25">
      <c r="C14" s="18"/>
      <c r="D14" s="87" t="s">
        <v>22</v>
      </c>
      <c r="E14" s="88"/>
      <c r="F14" s="88"/>
      <c r="G14" s="88"/>
      <c r="H14" s="88"/>
      <c r="I14" s="88"/>
      <c r="J14" s="88"/>
      <c r="K14" s="89"/>
      <c r="L14" s="19"/>
    </row>
    <row r="15" spans="1:77" s="17" customFormat="1" ht="15" customHeight="1" x14ac:dyDescent="0.2">
      <c r="C15" s="18"/>
      <c r="D15" s="20" t="s">
        <v>23</v>
      </c>
      <c r="E15" s="21" t="s">
        <v>24</v>
      </c>
      <c r="F15" s="22">
        <v>10</v>
      </c>
      <c r="G15" s="23">
        <f>SUM(H15:K15)</f>
        <v>7664.8379999999997</v>
      </c>
      <c r="H15" s="23">
        <f>H16+H17+H20+H23</f>
        <v>5949.424</v>
      </c>
      <c r="I15" s="23">
        <f>I16+I17+I20+I23</f>
        <v>0</v>
      </c>
      <c r="J15" s="23">
        <f>J16+J17+J20+J23</f>
        <v>1715.4140000000002</v>
      </c>
      <c r="K15" s="23">
        <f>K16+K17+K20+K23</f>
        <v>0</v>
      </c>
      <c r="L15" s="19"/>
      <c r="M15" s="24"/>
      <c r="P15" s="25">
        <v>10</v>
      </c>
    </row>
    <row r="16" spans="1:77" s="17" customFormat="1" ht="15" customHeight="1" x14ac:dyDescent="0.2">
      <c r="C16" s="18"/>
      <c r="D16" s="20" t="s">
        <v>25</v>
      </c>
      <c r="E16" s="26" t="s">
        <v>26</v>
      </c>
      <c r="F16" s="22">
        <v>20</v>
      </c>
      <c r="G16" s="23">
        <f t="shared" ref="G16:G132" si="0">SUM(H16:K16)</f>
        <v>0</v>
      </c>
      <c r="H16" s="27"/>
      <c r="I16" s="27"/>
      <c r="J16" s="27"/>
      <c r="K16" s="27"/>
      <c r="L16" s="19"/>
      <c r="M16" s="24"/>
      <c r="P16" s="25">
        <v>20</v>
      </c>
    </row>
    <row r="17" spans="3:16" s="17" customFormat="1" ht="12.75" x14ac:dyDescent="0.2">
      <c r="C17" s="18"/>
      <c r="D17" s="20" t="s">
        <v>27</v>
      </c>
      <c r="E17" s="26" t="s">
        <v>28</v>
      </c>
      <c r="F17" s="22">
        <v>30</v>
      </c>
      <c r="G17" s="23">
        <f t="shared" si="0"/>
        <v>0</v>
      </c>
      <c r="H17" s="23">
        <f>SUM(H18:H19)</f>
        <v>0</v>
      </c>
      <c r="I17" s="23">
        <f>SUM(I18:I19)</f>
        <v>0</v>
      </c>
      <c r="J17" s="23">
        <f>SUM(J18:J19)</f>
        <v>0</v>
      </c>
      <c r="K17" s="23">
        <f>SUM(K18:K19)</f>
        <v>0</v>
      </c>
      <c r="L17" s="19"/>
      <c r="M17" s="24"/>
      <c r="P17" s="25">
        <v>30</v>
      </c>
    </row>
    <row r="18" spans="3:16" s="17" customFormat="1" ht="12.75" x14ac:dyDescent="0.2">
      <c r="C18" s="18"/>
      <c r="D18" s="28" t="s">
        <v>29</v>
      </c>
      <c r="E18" s="29"/>
      <c r="F18" s="30" t="s">
        <v>30</v>
      </c>
      <c r="G18" s="31"/>
      <c r="H18" s="31"/>
      <c r="I18" s="31"/>
      <c r="J18" s="31"/>
      <c r="K18" s="31"/>
      <c r="L18" s="19"/>
      <c r="M18" s="24"/>
      <c r="P18" s="25"/>
    </row>
    <row r="19" spans="3:16" s="17" customFormat="1" ht="12.75" x14ac:dyDescent="0.2">
      <c r="C19" s="18"/>
      <c r="D19" s="32"/>
      <c r="E19" s="33" t="s">
        <v>31</v>
      </c>
      <c r="F19" s="34"/>
      <c r="G19" s="34"/>
      <c r="H19" s="34"/>
      <c r="I19" s="34"/>
      <c r="J19" s="34"/>
      <c r="K19" s="35"/>
      <c r="L19" s="19"/>
      <c r="M19" s="24"/>
      <c r="P19" s="36"/>
    </row>
    <row r="20" spans="3:16" s="17" customFormat="1" ht="12.75" x14ac:dyDescent="0.2">
      <c r="C20" s="18"/>
      <c r="D20" s="20" t="s">
        <v>32</v>
      </c>
      <c r="E20" s="26" t="s">
        <v>33</v>
      </c>
      <c r="F20" s="22" t="s">
        <v>34</v>
      </c>
      <c r="G20" s="23">
        <f t="shared" si="0"/>
        <v>0</v>
      </c>
      <c r="H20" s="23">
        <f>SUM(H21:H22)</f>
        <v>0</v>
      </c>
      <c r="I20" s="23">
        <f>SUM(I21:I22)</f>
        <v>0</v>
      </c>
      <c r="J20" s="23">
        <f>SUM(J21:J22)</f>
        <v>0</v>
      </c>
      <c r="K20" s="23">
        <f>SUM(K21:K22)</f>
        <v>0</v>
      </c>
      <c r="L20" s="19"/>
      <c r="M20" s="24"/>
      <c r="P20" s="36"/>
    </row>
    <row r="21" spans="3:16" s="17" customFormat="1" ht="12.75" x14ac:dyDescent="0.2">
      <c r="C21" s="18"/>
      <c r="D21" s="28" t="s">
        <v>35</v>
      </c>
      <c r="E21" s="29"/>
      <c r="F21" s="30" t="s">
        <v>34</v>
      </c>
      <c r="G21" s="31"/>
      <c r="H21" s="31"/>
      <c r="I21" s="31"/>
      <c r="J21" s="31"/>
      <c r="K21" s="31"/>
      <c r="L21" s="19"/>
      <c r="M21" s="24"/>
      <c r="P21" s="25"/>
    </row>
    <row r="22" spans="3:16" s="17" customFormat="1" ht="12.75" x14ac:dyDescent="0.2">
      <c r="C22" s="18"/>
      <c r="D22" s="32"/>
      <c r="E22" s="33" t="s">
        <v>31</v>
      </c>
      <c r="F22" s="34"/>
      <c r="G22" s="34"/>
      <c r="H22" s="34"/>
      <c r="I22" s="34"/>
      <c r="J22" s="34"/>
      <c r="K22" s="35"/>
      <c r="L22" s="19"/>
      <c r="M22" s="24"/>
      <c r="P22" s="36"/>
    </row>
    <row r="23" spans="3:16" s="17" customFormat="1" ht="12.75" x14ac:dyDescent="0.2">
      <c r="C23" s="18"/>
      <c r="D23" s="20" t="s">
        <v>36</v>
      </c>
      <c r="E23" s="26" t="s">
        <v>37</v>
      </c>
      <c r="F23" s="22" t="s">
        <v>38</v>
      </c>
      <c r="G23" s="23">
        <f t="shared" si="0"/>
        <v>7664.8379999999997</v>
      </c>
      <c r="H23" s="23">
        <f>SUM(H24:H26)</f>
        <v>5949.424</v>
      </c>
      <c r="I23" s="23">
        <f>SUM(I24:I26)</f>
        <v>0</v>
      </c>
      <c r="J23" s="23">
        <f>SUM(J24:J26)</f>
        <v>1715.4140000000002</v>
      </c>
      <c r="K23" s="23">
        <f>SUM(K24:K26)</f>
        <v>0</v>
      </c>
      <c r="L23" s="19"/>
      <c r="M23" s="24"/>
      <c r="P23" s="25">
        <v>40</v>
      </c>
    </row>
    <row r="24" spans="3:16" s="17" customFormat="1" ht="12.75" x14ac:dyDescent="0.2">
      <c r="C24" s="18"/>
      <c r="D24" s="28" t="s">
        <v>39</v>
      </c>
      <c r="E24" s="29"/>
      <c r="F24" s="30" t="s">
        <v>38</v>
      </c>
      <c r="G24" s="31"/>
      <c r="H24" s="31"/>
      <c r="I24" s="31"/>
      <c r="J24" s="31"/>
      <c r="K24" s="31"/>
      <c r="L24" s="19"/>
      <c r="M24" s="24"/>
      <c r="P24" s="25"/>
    </row>
    <row r="25" spans="3:16" s="17" customFormat="1" ht="15" x14ac:dyDescent="0.25">
      <c r="C25" s="37" t="s">
        <v>40</v>
      </c>
      <c r="D25" s="38" t="s">
        <v>41</v>
      </c>
      <c r="E25" s="39" t="s">
        <v>42</v>
      </c>
      <c r="F25" s="40">
        <v>431</v>
      </c>
      <c r="G25" s="41">
        <f>SUM(H25:K25)</f>
        <v>7664.8379999999997</v>
      </c>
      <c r="H25" s="42">
        <f>январь!H25+февраль!H25+март!H25</f>
        <v>5949.424</v>
      </c>
      <c r="I25" s="42">
        <v>0</v>
      </c>
      <c r="J25" s="42">
        <f>январь!J25+февраль!J25+март!J25</f>
        <v>1715.4140000000002</v>
      </c>
      <c r="K25" s="42">
        <v>0</v>
      </c>
      <c r="L25" s="19"/>
      <c r="M25" s="43" t="s">
        <v>43</v>
      </c>
      <c r="N25" s="44" t="s">
        <v>44</v>
      </c>
      <c r="O25" s="44" t="s">
        <v>45</v>
      </c>
    </row>
    <row r="26" spans="3:16" s="17" customFormat="1" ht="12.75" x14ac:dyDescent="0.2">
      <c r="C26" s="18"/>
      <c r="D26" s="32"/>
      <c r="E26" s="33" t="s">
        <v>31</v>
      </c>
      <c r="F26" s="34"/>
      <c r="G26" s="34"/>
      <c r="H26" s="34"/>
      <c r="I26" s="34"/>
      <c r="J26" s="34"/>
      <c r="K26" s="35"/>
      <c r="L26" s="19"/>
      <c r="M26" s="24"/>
      <c r="P26" s="25"/>
    </row>
    <row r="27" spans="3:16" s="17" customFormat="1" ht="12.75" x14ac:dyDescent="0.2">
      <c r="C27" s="18"/>
      <c r="D27" s="20" t="s">
        <v>46</v>
      </c>
      <c r="E27" s="21" t="s">
        <v>47</v>
      </c>
      <c r="F27" s="22" t="s">
        <v>48</v>
      </c>
      <c r="G27" s="23">
        <f t="shared" si="0"/>
        <v>12788.034</v>
      </c>
      <c r="H27" s="23">
        <f>H29+H30+H31</f>
        <v>0</v>
      </c>
      <c r="I27" s="23">
        <f>I28+I30+I31</f>
        <v>0</v>
      </c>
      <c r="J27" s="23">
        <f>J28+J29+J31</f>
        <v>5949.424</v>
      </c>
      <c r="K27" s="23">
        <f>K28+K29+K30</f>
        <v>6838.61</v>
      </c>
      <c r="L27" s="19"/>
      <c r="M27" s="24"/>
      <c r="P27" s="25">
        <v>50</v>
      </c>
    </row>
    <row r="28" spans="3:16" s="17" customFormat="1" ht="12.75" x14ac:dyDescent="0.2">
      <c r="C28" s="18"/>
      <c r="D28" s="20" t="s">
        <v>49</v>
      </c>
      <c r="E28" s="26" t="s">
        <v>18</v>
      </c>
      <c r="F28" s="22" t="s">
        <v>50</v>
      </c>
      <c r="G28" s="23">
        <f t="shared" si="0"/>
        <v>5949.424</v>
      </c>
      <c r="H28" s="45"/>
      <c r="I28" s="27"/>
      <c r="J28" s="27">
        <f>H25</f>
        <v>5949.424</v>
      </c>
      <c r="K28" s="27"/>
      <c r="L28" s="19"/>
      <c r="M28" s="24"/>
      <c r="P28" s="25">
        <v>60</v>
      </c>
    </row>
    <row r="29" spans="3:16" s="17" customFormat="1" ht="12.75" x14ac:dyDescent="0.2">
      <c r="C29" s="18"/>
      <c r="D29" s="20" t="s">
        <v>51</v>
      </c>
      <c r="E29" s="26" t="s">
        <v>19</v>
      </c>
      <c r="F29" s="22" t="s">
        <v>52</v>
      </c>
      <c r="G29" s="23">
        <f t="shared" si="0"/>
        <v>0</v>
      </c>
      <c r="H29" s="27"/>
      <c r="I29" s="45"/>
      <c r="J29" s="27"/>
      <c r="K29" s="27"/>
      <c r="L29" s="19"/>
      <c r="M29" s="24"/>
      <c r="P29" s="25">
        <v>70</v>
      </c>
    </row>
    <row r="30" spans="3:16" s="17" customFormat="1" ht="12.75" x14ac:dyDescent="0.2">
      <c r="C30" s="18"/>
      <c r="D30" s="20" t="s">
        <v>53</v>
      </c>
      <c r="E30" s="26" t="s">
        <v>20</v>
      </c>
      <c r="F30" s="22" t="s">
        <v>54</v>
      </c>
      <c r="G30" s="23">
        <f t="shared" si="0"/>
        <v>6838.61</v>
      </c>
      <c r="H30" s="27"/>
      <c r="I30" s="27"/>
      <c r="J30" s="45"/>
      <c r="K30" s="27">
        <f>H25+J25-J36-J46</f>
        <v>6838.61</v>
      </c>
      <c r="L30" s="19"/>
      <c r="M30" s="24"/>
      <c r="P30" s="25">
        <v>80</v>
      </c>
    </row>
    <row r="31" spans="3:16" s="17" customFormat="1" ht="12.75" x14ac:dyDescent="0.2">
      <c r="C31" s="18"/>
      <c r="D31" s="20" t="s">
        <v>55</v>
      </c>
      <c r="E31" s="26" t="s">
        <v>56</v>
      </c>
      <c r="F31" s="22" t="s">
        <v>57</v>
      </c>
      <c r="G31" s="23">
        <f t="shared" si="0"/>
        <v>0</v>
      </c>
      <c r="H31" s="27"/>
      <c r="I31" s="27"/>
      <c r="J31" s="27"/>
      <c r="K31" s="45"/>
      <c r="L31" s="19"/>
      <c r="M31" s="24"/>
      <c r="P31" s="25">
        <v>90</v>
      </c>
    </row>
    <row r="32" spans="3:16" s="17" customFormat="1" ht="12.75" x14ac:dyDescent="0.2">
      <c r="C32" s="18"/>
      <c r="D32" s="20" t="s">
        <v>58</v>
      </c>
      <c r="E32" s="46" t="s">
        <v>59</v>
      </c>
      <c r="F32" s="22" t="s">
        <v>60</v>
      </c>
      <c r="G32" s="23">
        <f t="shared" si="0"/>
        <v>0</v>
      </c>
      <c r="H32" s="27"/>
      <c r="I32" s="27"/>
      <c r="J32" s="27"/>
      <c r="K32" s="27"/>
      <c r="L32" s="19"/>
      <c r="M32" s="24"/>
      <c r="P32" s="25"/>
    </row>
    <row r="33" spans="3:16" s="17" customFormat="1" ht="12.75" x14ac:dyDescent="0.2">
      <c r="C33" s="18"/>
      <c r="D33" s="20" t="s">
        <v>61</v>
      </c>
      <c r="E33" s="21" t="s">
        <v>62</v>
      </c>
      <c r="F33" s="47" t="s">
        <v>63</v>
      </c>
      <c r="G33" s="23">
        <f t="shared" si="0"/>
        <v>7640.1429999999991</v>
      </c>
      <c r="H33" s="23">
        <f>H34+H36+H39+H42</f>
        <v>0</v>
      </c>
      <c r="I33" s="23">
        <f>I34+I36+I39+I42</f>
        <v>0</v>
      </c>
      <c r="J33" s="23">
        <f>J34+J36+J39+J42</f>
        <v>826.22799999999995</v>
      </c>
      <c r="K33" s="23">
        <f>K34+K36+K39+K42</f>
        <v>6813.9149999999991</v>
      </c>
      <c r="L33" s="19"/>
      <c r="M33" s="24"/>
      <c r="P33" s="25">
        <v>100</v>
      </c>
    </row>
    <row r="34" spans="3:16" s="17" customFormat="1" ht="22.5" x14ac:dyDescent="0.2">
      <c r="C34" s="18"/>
      <c r="D34" s="20" t="s">
        <v>64</v>
      </c>
      <c r="E34" s="26" t="s">
        <v>65</v>
      </c>
      <c r="F34" s="22" t="s">
        <v>66</v>
      </c>
      <c r="G34" s="23">
        <f t="shared" si="0"/>
        <v>0</v>
      </c>
      <c r="H34" s="27"/>
      <c r="I34" s="27"/>
      <c r="J34" s="27"/>
      <c r="K34" s="27"/>
      <c r="L34" s="19"/>
      <c r="M34" s="24"/>
      <c r="P34" s="25"/>
    </row>
    <row r="35" spans="3:16" s="17" customFormat="1" ht="12.75" x14ac:dyDescent="0.2">
      <c r="C35" s="18"/>
      <c r="D35" s="20" t="s">
        <v>67</v>
      </c>
      <c r="E35" s="48" t="s">
        <v>68</v>
      </c>
      <c r="F35" s="22" t="s">
        <v>69</v>
      </c>
      <c r="G35" s="23">
        <f t="shared" si="0"/>
        <v>0</v>
      </c>
      <c r="H35" s="27"/>
      <c r="I35" s="27"/>
      <c r="J35" s="27"/>
      <c r="K35" s="27"/>
      <c r="L35" s="19"/>
      <c r="M35" s="24"/>
      <c r="P35" s="25"/>
    </row>
    <row r="36" spans="3:16" s="17" customFormat="1" ht="12.75" x14ac:dyDescent="0.2">
      <c r="C36" s="18"/>
      <c r="D36" s="20" t="s">
        <v>70</v>
      </c>
      <c r="E36" s="26" t="s">
        <v>71</v>
      </c>
      <c r="F36" s="22" t="s">
        <v>72</v>
      </c>
      <c r="G36" s="23">
        <f t="shared" si="0"/>
        <v>7640.1429999999991</v>
      </c>
      <c r="H36" s="27">
        <v>0</v>
      </c>
      <c r="I36" s="27">
        <v>0</v>
      </c>
      <c r="J36" s="42">
        <f>январь!J36+февраль!J36+март!J36</f>
        <v>826.22799999999995</v>
      </c>
      <c r="K36" s="42">
        <f>январь!K36+февраль!K36+март!K36</f>
        <v>6813.9149999999991</v>
      </c>
      <c r="L36" s="19"/>
      <c r="M36" s="24"/>
      <c r="P36" s="25"/>
    </row>
    <row r="37" spans="3:16" s="17" customFormat="1" ht="12.75" x14ac:dyDescent="0.2">
      <c r="C37" s="18"/>
      <c r="D37" s="20" t="s">
        <v>73</v>
      </c>
      <c r="E37" s="48" t="s">
        <v>74</v>
      </c>
      <c r="F37" s="22" t="s">
        <v>75</v>
      </c>
      <c r="G37" s="23">
        <f t="shared" si="0"/>
        <v>0</v>
      </c>
      <c r="H37" s="27"/>
      <c r="I37" s="27"/>
      <c r="J37" s="27"/>
      <c r="K37" s="27"/>
      <c r="L37" s="19"/>
      <c r="M37" s="24"/>
      <c r="P37" s="25"/>
    </row>
    <row r="38" spans="3:16" s="17" customFormat="1" ht="12.75" x14ac:dyDescent="0.2">
      <c r="C38" s="18"/>
      <c r="D38" s="20" t="s">
        <v>76</v>
      </c>
      <c r="E38" s="49" t="s">
        <v>68</v>
      </c>
      <c r="F38" s="22" t="s">
        <v>77</v>
      </c>
      <c r="G38" s="23">
        <f t="shared" si="0"/>
        <v>0</v>
      </c>
      <c r="H38" s="27"/>
      <c r="I38" s="27"/>
      <c r="J38" s="27"/>
      <c r="K38" s="27"/>
      <c r="L38" s="19"/>
      <c r="M38" s="24"/>
      <c r="P38" s="25"/>
    </row>
    <row r="39" spans="3:16" s="17" customFormat="1" ht="12.75" x14ac:dyDescent="0.2">
      <c r="C39" s="18"/>
      <c r="D39" s="20" t="s">
        <v>78</v>
      </c>
      <c r="E39" s="26" t="s">
        <v>79</v>
      </c>
      <c r="F39" s="22" t="s">
        <v>80</v>
      </c>
      <c r="G39" s="23">
        <f t="shared" si="0"/>
        <v>0</v>
      </c>
      <c r="H39" s="23">
        <f>SUM(H40:H41)</f>
        <v>0</v>
      </c>
      <c r="I39" s="23">
        <f>SUM(I40:I41)</f>
        <v>0</v>
      </c>
      <c r="J39" s="23">
        <f>SUM(J40:J41)</f>
        <v>0</v>
      </c>
      <c r="K39" s="23">
        <f>SUM(K40:K41)</f>
        <v>0</v>
      </c>
      <c r="L39" s="19"/>
      <c r="M39" s="24"/>
      <c r="P39" s="25"/>
    </row>
    <row r="40" spans="3:16" s="17" customFormat="1" ht="12.75" x14ac:dyDescent="0.2">
      <c r="C40" s="18"/>
      <c r="D40" s="28" t="s">
        <v>81</v>
      </c>
      <c r="E40" s="29"/>
      <c r="F40" s="30" t="s">
        <v>80</v>
      </c>
      <c r="G40" s="31"/>
      <c r="H40" s="31"/>
      <c r="I40" s="31"/>
      <c r="J40" s="31"/>
      <c r="K40" s="31"/>
      <c r="L40" s="19"/>
      <c r="M40" s="24"/>
      <c r="P40" s="25"/>
    </row>
    <row r="41" spans="3:16" s="17" customFormat="1" ht="12.75" x14ac:dyDescent="0.2">
      <c r="C41" s="18"/>
      <c r="D41" s="50"/>
      <c r="E41" s="33" t="s">
        <v>31</v>
      </c>
      <c r="F41" s="34"/>
      <c r="G41" s="34"/>
      <c r="H41" s="34"/>
      <c r="I41" s="34"/>
      <c r="J41" s="34"/>
      <c r="K41" s="35"/>
      <c r="L41" s="19"/>
      <c r="M41" s="24"/>
      <c r="P41" s="25"/>
    </row>
    <row r="42" spans="3:16" s="17" customFormat="1" ht="12.75" x14ac:dyDescent="0.2">
      <c r="C42" s="18"/>
      <c r="D42" s="20" t="s">
        <v>82</v>
      </c>
      <c r="E42" s="51" t="s">
        <v>83</v>
      </c>
      <c r="F42" s="22" t="s">
        <v>84</v>
      </c>
      <c r="G42" s="23">
        <f t="shared" si="0"/>
        <v>0</v>
      </c>
      <c r="H42" s="27"/>
      <c r="I42" s="27"/>
      <c r="J42" s="27"/>
      <c r="K42" s="27"/>
      <c r="L42" s="19"/>
      <c r="M42" s="24"/>
      <c r="P42" s="25">
        <v>120</v>
      </c>
    </row>
    <row r="43" spans="3:16" s="17" customFormat="1" ht="12.75" x14ac:dyDescent="0.2">
      <c r="C43" s="18"/>
      <c r="D43" s="20" t="s">
        <v>85</v>
      </c>
      <c r="E43" s="21" t="s">
        <v>86</v>
      </c>
      <c r="F43" s="22" t="s">
        <v>87</v>
      </c>
      <c r="G43" s="23">
        <f t="shared" si="0"/>
        <v>12788.034</v>
      </c>
      <c r="H43" s="27">
        <f>J28</f>
        <v>5949.424</v>
      </c>
      <c r="I43" s="27"/>
      <c r="J43" s="27">
        <f>K30</f>
        <v>6838.61</v>
      </c>
      <c r="K43" s="27"/>
      <c r="L43" s="19"/>
      <c r="M43" s="24"/>
      <c r="P43" s="25">
        <v>150</v>
      </c>
    </row>
    <row r="44" spans="3:16" s="17" customFormat="1" ht="12.75" x14ac:dyDescent="0.2">
      <c r="C44" s="18"/>
      <c r="D44" s="20" t="s">
        <v>88</v>
      </c>
      <c r="E44" s="21" t="s">
        <v>89</v>
      </c>
      <c r="F44" s="22" t="s">
        <v>90</v>
      </c>
      <c r="G44" s="23">
        <f t="shared" si="0"/>
        <v>0</v>
      </c>
      <c r="H44" s="27"/>
      <c r="I44" s="27"/>
      <c r="J44" s="27"/>
      <c r="K44" s="27"/>
      <c r="L44" s="19"/>
      <c r="M44" s="24"/>
      <c r="P44" s="25">
        <v>160</v>
      </c>
    </row>
    <row r="45" spans="3:16" s="17" customFormat="1" ht="12.75" x14ac:dyDescent="0.2">
      <c r="C45" s="18"/>
      <c r="D45" s="20" t="s">
        <v>91</v>
      </c>
      <c r="E45" s="21" t="s">
        <v>92</v>
      </c>
      <c r="F45" s="22" t="s">
        <v>93</v>
      </c>
      <c r="G45" s="23">
        <f t="shared" si="0"/>
        <v>0</v>
      </c>
      <c r="H45" s="27"/>
      <c r="I45" s="27"/>
      <c r="J45" s="27"/>
      <c r="K45" s="27"/>
      <c r="L45" s="19"/>
      <c r="M45" s="24"/>
      <c r="P45" s="25">
        <v>180</v>
      </c>
    </row>
    <row r="46" spans="3:16" s="17" customFormat="1" ht="12.75" x14ac:dyDescent="0.2">
      <c r="C46" s="18"/>
      <c r="D46" s="20" t="s">
        <v>94</v>
      </c>
      <c r="E46" s="21" t="s">
        <v>95</v>
      </c>
      <c r="F46" s="22" t="s">
        <v>96</v>
      </c>
      <c r="G46" s="23">
        <f t="shared" si="0"/>
        <v>24.695000000000618</v>
      </c>
      <c r="H46" s="27"/>
      <c r="I46" s="27"/>
      <c r="J46" s="27"/>
      <c r="K46" s="27">
        <f>G25-G36</f>
        <v>24.695000000000618</v>
      </c>
      <c r="L46" s="19"/>
      <c r="M46" s="24"/>
      <c r="P46" s="25">
        <v>190</v>
      </c>
    </row>
    <row r="47" spans="3:16" s="17" customFormat="1" ht="12.75" x14ac:dyDescent="0.2">
      <c r="C47" s="18"/>
      <c r="D47" s="20" t="s">
        <v>97</v>
      </c>
      <c r="E47" s="26" t="s">
        <v>98</v>
      </c>
      <c r="F47" s="22" t="s">
        <v>99</v>
      </c>
      <c r="G47" s="23">
        <f t="shared" si="0"/>
        <v>0</v>
      </c>
      <c r="H47" s="27"/>
      <c r="I47" s="27"/>
      <c r="J47" s="27">
        <v>0</v>
      </c>
      <c r="K47" s="27">
        <v>0</v>
      </c>
      <c r="L47" s="19"/>
      <c r="M47" s="24"/>
      <c r="P47" s="25">
        <v>200</v>
      </c>
    </row>
    <row r="48" spans="3:16" s="17" customFormat="1" ht="12.75" x14ac:dyDescent="0.2">
      <c r="C48" s="18"/>
      <c r="D48" s="20" t="s">
        <v>100</v>
      </c>
      <c r="E48" s="21" t="s">
        <v>101</v>
      </c>
      <c r="F48" s="22" t="s">
        <v>102</v>
      </c>
      <c r="G48" s="23">
        <f t="shared" si="0"/>
        <v>267.74900000000002</v>
      </c>
      <c r="H48" s="27"/>
      <c r="I48" s="27"/>
      <c r="J48" s="42">
        <f>январь!J48+февраль!J48+март!J48</f>
        <v>0</v>
      </c>
      <c r="K48" s="42">
        <f>январь!K48+февраль!K48+март!K48</f>
        <v>267.74900000000002</v>
      </c>
      <c r="L48" s="19"/>
      <c r="M48" s="24"/>
      <c r="P48" s="36"/>
    </row>
    <row r="49" spans="3:16" s="17" customFormat="1" ht="22.5" x14ac:dyDescent="0.2">
      <c r="C49" s="18"/>
      <c r="D49" s="20" t="s">
        <v>103</v>
      </c>
      <c r="E49" s="46" t="s">
        <v>104</v>
      </c>
      <c r="F49" s="22" t="s">
        <v>105</v>
      </c>
      <c r="G49" s="23">
        <f t="shared" si="0"/>
        <v>-243.05399999999941</v>
      </c>
      <c r="H49" s="23">
        <f>H46-H48</f>
        <v>0</v>
      </c>
      <c r="I49" s="23">
        <f>I46-I48</f>
        <v>0</v>
      </c>
      <c r="J49" s="23">
        <f>J46-J48</f>
        <v>0</v>
      </c>
      <c r="K49" s="23">
        <f>K46-K48</f>
        <v>-243.05399999999941</v>
      </c>
      <c r="L49" s="19"/>
      <c r="M49" s="24"/>
      <c r="P49" s="36"/>
    </row>
    <row r="50" spans="3:16" s="17" customFormat="1" ht="12.75" x14ac:dyDescent="0.2">
      <c r="C50" s="18"/>
      <c r="D50" s="20" t="s">
        <v>106</v>
      </c>
      <c r="E50" s="21" t="s">
        <v>107</v>
      </c>
      <c r="F50" s="22" t="s">
        <v>108</v>
      </c>
      <c r="G50" s="23">
        <f t="shared" si="0"/>
        <v>0</v>
      </c>
      <c r="H50" s="23">
        <f>(H15+H27+H32)-(H33+H43+H44+H45+H46)</f>
        <v>0</v>
      </c>
      <c r="I50" s="23">
        <f>(I15+I27+I32)-(I33+I43+I44+I45+I46)</f>
        <v>0</v>
      </c>
      <c r="J50" s="23">
        <f>(J15+J27+J32)-(J33+J43+J44+J45+J46)</f>
        <v>0</v>
      </c>
      <c r="K50" s="23">
        <f>(K15+K27+K32)-(K33+K43+K44+K45+K46)</f>
        <v>0</v>
      </c>
      <c r="L50" s="19"/>
      <c r="M50" s="24"/>
      <c r="P50" s="25">
        <v>210</v>
      </c>
    </row>
    <row r="51" spans="3:16" s="17" customFormat="1" ht="12.75" x14ac:dyDescent="0.2">
      <c r="C51" s="18"/>
      <c r="D51" s="87" t="s">
        <v>109</v>
      </c>
      <c r="E51" s="88"/>
      <c r="F51" s="88"/>
      <c r="G51" s="88"/>
      <c r="H51" s="88"/>
      <c r="I51" s="88"/>
      <c r="J51" s="88"/>
      <c r="K51" s="89"/>
      <c r="L51" s="19"/>
      <c r="M51" s="24"/>
      <c r="P51" s="36"/>
    </row>
    <row r="52" spans="3:16" s="17" customFormat="1" ht="12.75" x14ac:dyDescent="0.2">
      <c r="C52" s="18"/>
      <c r="D52" s="20" t="s">
        <v>110</v>
      </c>
      <c r="E52" s="21" t="s">
        <v>24</v>
      </c>
      <c r="F52" s="22" t="s">
        <v>111</v>
      </c>
      <c r="G52" s="23">
        <f t="shared" si="0"/>
        <v>4.8213333333333335</v>
      </c>
      <c r="H52" s="23">
        <f>H53+H54+H57+H60</f>
        <v>1.1571199999999999</v>
      </c>
      <c r="I52" s="23">
        <f>I53+I54+I57+I60</f>
        <v>0</v>
      </c>
      <c r="J52" s="23">
        <f>J53+J54+J57+J60</f>
        <v>3.6642133333333331</v>
      </c>
      <c r="K52" s="23">
        <f>K53+K54+K57+K60</f>
        <v>0</v>
      </c>
      <c r="L52" s="19"/>
      <c r="M52" s="24"/>
      <c r="P52" s="25">
        <v>300</v>
      </c>
    </row>
    <row r="53" spans="3:16" s="17" customFormat="1" ht="12.75" x14ac:dyDescent="0.2">
      <c r="C53" s="18"/>
      <c r="D53" s="20" t="s">
        <v>112</v>
      </c>
      <c r="E53" s="26" t="s">
        <v>26</v>
      </c>
      <c r="F53" s="22" t="s">
        <v>113</v>
      </c>
      <c r="G53" s="23">
        <f t="shared" si="0"/>
        <v>0</v>
      </c>
      <c r="H53" s="27"/>
      <c r="I53" s="27"/>
      <c r="J53" s="27"/>
      <c r="K53" s="27"/>
      <c r="L53" s="19"/>
      <c r="M53" s="24"/>
      <c r="P53" s="25">
        <v>310</v>
      </c>
    </row>
    <row r="54" spans="3:16" s="17" customFormat="1" ht="12.75" x14ac:dyDescent="0.2">
      <c r="C54" s="18"/>
      <c r="D54" s="20" t="s">
        <v>114</v>
      </c>
      <c r="E54" s="26" t="s">
        <v>28</v>
      </c>
      <c r="F54" s="22" t="s">
        <v>115</v>
      </c>
      <c r="G54" s="23">
        <f t="shared" si="0"/>
        <v>0</v>
      </c>
      <c r="H54" s="23">
        <f>SUM(H55:H56)</f>
        <v>0</v>
      </c>
      <c r="I54" s="23">
        <f>SUM(I55:I56)</f>
        <v>0</v>
      </c>
      <c r="J54" s="23">
        <f>SUM(J55:J56)</f>
        <v>0</v>
      </c>
      <c r="K54" s="23">
        <f>SUM(K55:K56)</f>
        <v>0</v>
      </c>
      <c r="L54" s="19"/>
      <c r="M54" s="24"/>
      <c r="P54" s="25">
        <v>320</v>
      </c>
    </row>
    <row r="55" spans="3:16" s="17" customFormat="1" ht="12.75" x14ac:dyDescent="0.2">
      <c r="C55" s="18"/>
      <c r="D55" s="28" t="s">
        <v>116</v>
      </c>
      <c r="E55" s="29"/>
      <c r="F55" s="30" t="s">
        <v>115</v>
      </c>
      <c r="G55" s="31"/>
      <c r="H55" s="31"/>
      <c r="I55" s="31"/>
      <c r="J55" s="31"/>
      <c r="K55" s="31"/>
      <c r="L55" s="19"/>
      <c r="M55" s="24"/>
      <c r="P55" s="25"/>
    </row>
    <row r="56" spans="3:16" s="17" customFormat="1" ht="12.75" x14ac:dyDescent="0.2">
      <c r="C56" s="18"/>
      <c r="D56" s="32"/>
      <c r="E56" s="33" t="s">
        <v>31</v>
      </c>
      <c r="F56" s="34"/>
      <c r="G56" s="34"/>
      <c r="H56" s="34"/>
      <c r="I56" s="34"/>
      <c r="J56" s="34"/>
      <c r="K56" s="35"/>
      <c r="L56" s="19"/>
      <c r="M56" s="24"/>
      <c r="P56" s="25"/>
    </row>
    <row r="57" spans="3:16" s="17" customFormat="1" ht="12.75" x14ac:dyDescent="0.2">
      <c r="C57" s="18"/>
      <c r="D57" s="20" t="s">
        <v>117</v>
      </c>
      <c r="E57" s="26" t="s">
        <v>33</v>
      </c>
      <c r="F57" s="22" t="s">
        <v>118</v>
      </c>
      <c r="G57" s="23">
        <f t="shared" si="0"/>
        <v>0</v>
      </c>
      <c r="H57" s="23">
        <f>SUM(H58:H59)</f>
        <v>0</v>
      </c>
      <c r="I57" s="23">
        <f>SUM(I58:I59)</f>
        <v>0</v>
      </c>
      <c r="J57" s="23">
        <f>SUM(J58:J59)</f>
        <v>0</v>
      </c>
      <c r="K57" s="23">
        <f>SUM(K58:K59)</f>
        <v>0</v>
      </c>
      <c r="L57" s="19"/>
      <c r="M57" s="24"/>
      <c r="P57" s="25"/>
    </row>
    <row r="58" spans="3:16" s="17" customFormat="1" ht="12.75" x14ac:dyDescent="0.2">
      <c r="C58" s="18"/>
      <c r="D58" s="28" t="s">
        <v>119</v>
      </c>
      <c r="E58" s="29"/>
      <c r="F58" s="30" t="s">
        <v>118</v>
      </c>
      <c r="G58" s="31"/>
      <c r="H58" s="31"/>
      <c r="I58" s="31"/>
      <c r="J58" s="31"/>
      <c r="K58" s="31"/>
      <c r="L58" s="19"/>
      <c r="M58" s="24"/>
      <c r="P58" s="25"/>
    </row>
    <row r="59" spans="3:16" s="17" customFormat="1" ht="12.75" x14ac:dyDescent="0.2">
      <c r="C59" s="18"/>
      <c r="D59" s="32"/>
      <c r="E59" s="33" t="s">
        <v>31</v>
      </c>
      <c r="F59" s="34"/>
      <c r="G59" s="34"/>
      <c r="H59" s="34"/>
      <c r="I59" s="34"/>
      <c r="J59" s="34"/>
      <c r="K59" s="35"/>
      <c r="L59" s="19"/>
      <c r="M59" s="24"/>
      <c r="P59" s="25"/>
    </row>
    <row r="60" spans="3:16" s="17" customFormat="1" ht="12.75" x14ac:dyDescent="0.2">
      <c r="C60" s="18"/>
      <c r="D60" s="20" t="s">
        <v>120</v>
      </c>
      <c r="E60" s="26" t="s">
        <v>37</v>
      </c>
      <c r="F60" s="22" t="s">
        <v>121</v>
      </c>
      <c r="G60" s="23">
        <f t="shared" si="0"/>
        <v>4.8213333333333335</v>
      </c>
      <c r="H60" s="23">
        <f>SUM(H61:H63)</f>
        <v>1.1571199999999999</v>
      </c>
      <c r="I60" s="23">
        <f>SUM(I61:I63)</f>
        <v>0</v>
      </c>
      <c r="J60" s="23">
        <f>SUM(J61:J63)</f>
        <v>3.6642133333333331</v>
      </c>
      <c r="K60" s="23">
        <f>SUM(K61:K63)</f>
        <v>0</v>
      </c>
      <c r="L60" s="19"/>
      <c r="M60" s="24"/>
      <c r="P60" s="25">
        <v>330</v>
      </c>
    </row>
    <row r="61" spans="3:16" s="17" customFormat="1" ht="12.75" x14ac:dyDescent="0.2">
      <c r="C61" s="18"/>
      <c r="D61" s="28" t="s">
        <v>122</v>
      </c>
      <c r="E61" s="29"/>
      <c r="F61" s="30" t="s">
        <v>121</v>
      </c>
      <c r="G61" s="31"/>
      <c r="H61" s="31"/>
      <c r="I61" s="31"/>
      <c r="J61" s="31"/>
      <c r="K61" s="31"/>
      <c r="L61" s="19"/>
      <c r="M61" s="24"/>
      <c r="P61" s="25"/>
    </row>
    <row r="62" spans="3:16" s="17" customFormat="1" ht="15" x14ac:dyDescent="0.25">
      <c r="C62" s="37" t="s">
        <v>40</v>
      </c>
      <c r="D62" s="38" t="s">
        <v>123</v>
      </c>
      <c r="E62" s="39" t="s">
        <v>42</v>
      </c>
      <c r="F62" s="40">
        <v>1461</v>
      </c>
      <c r="G62" s="41">
        <f>SUM(H62:K62)</f>
        <v>4.8213333333333335</v>
      </c>
      <c r="H62" s="42">
        <f>(январь!H62+февраль!H62+март!H62)/3</f>
        <v>1.1571199999999999</v>
      </c>
      <c r="I62" s="52">
        <v>0</v>
      </c>
      <c r="J62" s="42">
        <f>(январь!J62+февраль!J62+март!J62)/3</f>
        <v>3.6642133333333331</v>
      </c>
      <c r="K62" s="53">
        <v>0</v>
      </c>
      <c r="L62" s="19"/>
      <c r="M62" s="43" t="s">
        <v>43</v>
      </c>
      <c r="N62" s="44" t="s">
        <v>44</v>
      </c>
      <c r="O62" s="44" t="s">
        <v>45</v>
      </c>
    </row>
    <row r="63" spans="3:16" s="17" customFormat="1" ht="12.75" x14ac:dyDescent="0.2">
      <c r="C63" s="18"/>
      <c r="D63" s="32"/>
      <c r="E63" s="33" t="s">
        <v>31</v>
      </c>
      <c r="F63" s="34"/>
      <c r="G63" s="34"/>
      <c r="H63" s="34"/>
      <c r="I63" s="34"/>
      <c r="J63" s="34"/>
      <c r="K63" s="35"/>
      <c r="L63" s="19"/>
      <c r="M63" s="24"/>
      <c r="P63" s="25"/>
    </row>
    <row r="64" spans="3:16" s="17" customFormat="1" ht="12.75" x14ac:dyDescent="0.2">
      <c r="C64" s="18"/>
      <c r="D64" s="20" t="s">
        <v>124</v>
      </c>
      <c r="E64" s="21" t="s">
        <v>47</v>
      </c>
      <c r="F64" s="22" t="s">
        <v>125</v>
      </c>
      <c r="G64" s="23">
        <f t="shared" si="0"/>
        <v>4.8519373333333329</v>
      </c>
      <c r="H64" s="23">
        <f>H66+H67+H68</f>
        <v>0</v>
      </c>
      <c r="I64" s="23">
        <f>I65+I67+I68</f>
        <v>0</v>
      </c>
      <c r="J64" s="23">
        <f>J65+J66+J68</f>
        <v>1.1571199999999999</v>
      </c>
      <c r="K64" s="23">
        <f>K65+K66+K67</f>
        <v>3.694817333333333</v>
      </c>
      <c r="L64" s="19"/>
      <c r="M64" s="24"/>
      <c r="P64" s="25">
        <v>340</v>
      </c>
    </row>
    <row r="65" spans="3:16" s="17" customFormat="1" ht="12.75" x14ac:dyDescent="0.2">
      <c r="C65" s="18"/>
      <c r="D65" s="20" t="s">
        <v>126</v>
      </c>
      <c r="E65" s="26" t="s">
        <v>18</v>
      </c>
      <c r="F65" s="22" t="s">
        <v>127</v>
      </c>
      <c r="G65" s="23">
        <f t="shared" si="0"/>
        <v>1.1571199999999999</v>
      </c>
      <c r="H65" s="45"/>
      <c r="I65" s="27"/>
      <c r="J65" s="27">
        <f>H62</f>
        <v>1.1571199999999999</v>
      </c>
      <c r="K65" s="27"/>
      <c r="L65" s="19"/>
      <c r="M65" s="24"/>
      <c r="P65" s="25">
        <v>350</v>
      </c>
    </row>
    <row r="66" spans="3:16" s="17" customFormat="1" ht="12.75" x14ac:dyDescent="0.2">
      <c r="C66" s="18"/>
      <c r="D66" s="20" t="s">
        <v>128</v>
      </c>
      <c r="E66" s="26" t="s">
        <v>19</v>
      </c>
      <c r="F66" s="22" t="s">
        <v>129</v>
      </c>
      <c r="G66" s="23">
        <f t="shared" si="0"/>
        <v>0</v>
      </c>
      <c r="H66" s="27"/>
      <c r="I66" s="54"/>
      <c r="J66" s="27"/>
      <c r="K66" s="27"/>
      <c r="L66" s="19"/>
      <c r="M66" s="24"/>
      <c r="P66" s="25">
        <v>360</v>
      </c>
    </row>
    <row r="67" spans="3:16" s="17" customFormat="1" ht="12.75" x14ac:dyDescent="0.2">
      <c r="C67" s="18"/>
      <c r="D67" s="20" t="s">
        <v>130</v>
      </c>
      <c r="E67" s="26" t="s">
        <v>20</v>
      </c>
      <c r="F67" s="22" t="s">
        <v>131</v>
      </c>
      <c r="G67" s="23">
        <f t="shared" si="0"/>
        <v>3.694817333333333</v>
      </c>
      <c r="H67" s="27"/>
      <c r="I67" s="27"/>
      <c r="J67" s="45"/>
      <c r="K67" s="27">
        <f>K73+K83</f>
        <v>3.694817333333333</v>
      </c>
      <c r="L67" s="19"/>
      <c r="M67" s="24"/>
      <c r="P67" s="25">
        <v>370</v>
      </c>
    </row>
    <row r="68" spans="3:16" s="17" customFormat="1" ht="12.75" x14ac:dyDescent="0.2">
      <c r="C68" s="18"/>
      <c r="D68" s="20" t="s">
        <v>132</v>
      </c>
      <c r="E68" s="26" t="s">
        <v>56</v>
      </c>
      <c r="F68" s="22" t="s">
        <v>133</v>
      </c>
      <c r="G68" s="23">
        <f t="shared" si="0"/>
        <v>0</v>
      </c>
      <c r="H68" s="27"/>
      <c r="I68" s="27"/>
      <c r="J68" s="27"/>
      <c r="K68" s="45"/>
      <c r="L68" s="19"/>
      <c r="M68" s="24"/>
      <c r="P68" s="25">
        <v>380</v>
      </c>
    </row>
    <row r="69" spans="3:16" s="17" customFormat="1" ht="12.75" x14ac:dyDescent="0.2">
      <c r="C69" s="18"/>
      <c r="D69" s="20" t="s">
        <v>134</v>
      </c>
      <c r="E69" s="46" t="s">
        <v>59</v>
      </c>
      <c r="F69" s="22" t="s">
        <v>135</v>
      </c>
      <c r="G69" s="23">
        <f t="shared" si="0"/>
        <v>0</v>
      </c>
      <c r="H69" s="27"/>
      <c r="I69" s="27"/>
      <c r="J69" s="27"/>
      <c r="K69" s="27"/>
      <c r="L69" s="19"/>
      <c r="M69" s="24"/>
      <c r="P69" s="25"/>
    </row>
    <row r="70" spans="3:16" s="17" customFormat="1" ht="12.75" x14ac:dyDescent="0.2">
      <c r="C70" s="18"/>
      <c r="D70" s="20" t="s">
        <v>136</v>
      </c>
      <c r="E70" s="21" t="s">
        <v>62</v>
      </c>
      <c r="F70" s="47" t="s">
        <v>137</v>
      </c>
      <c r="G70" s="23">
        <f t="shared" si="0"/>
        <v>4.614233333333333</v>
      </c>
      <c r="H70" s="23">
        <f>H71+H73+H76+H79</f>
        <v>0</v>
      </c>
      <c r="I70" s="23">
        <f>I71+I73+I76+I79</f>
        <v>0</v>
      </c>
      <c r="J70" s="23">
        <f>J71+J73+J76+J79</f>
        <v>1.107416</v>
      </c>
      <c r="K70" s="23">
        <f>K71+K73+K76+K79</f>
        <v>3.5068173333333328</v>
      </c>
      <c r="L70" s="19"/>
      <c r="M70" s="24"/>
      <c r="P70" s="25">
        <v>390</v>
      </c>
    </row>
    <row r="71" spans="3:16" s="17" customFormat="1" ht="22.5" x14ac:dyDescent="0.2">
      <c r="C71" s="18"/>
      <c r="D71" s="20" t="s">
        <v>138</v>
      </c>
      <c r="E71" s="26" t="s">
        <v>65</v>
      </c>
      <c r="F71" s="22" t="s">
        <v>139</v>
      </c>
      <c r="G71" s="23">
        <f t="shared" si="0"/>
        <v>0</v>
      </c>
      <c r="H71" s="27"/>
      <c r="I71" s="27"/>
      <c r="J71" s="27"/>
      <c r="K71" s="27"/>
      <c r="L71" s="19"/>
      <c r="M71" s="24"/>
      <c r="P71" s="25"/>
    </row>
    <row r="72" spans="3:16" s="17" customFormat="1" ht="12.75" x14ac:dyDescent="0.2">
      <c r="C72" s="18"/>
      <c r="D72" s="20" t="s">
        <v>140</v>
      </c>
      <c r="E72" s="48" t="s">
        <v>68</v>
      </c>
      <c r="F72" s="22" t="s">
        <v>141</v>
      </c>
      <c r="G72" s="23">
        <f t="shared" si="0"/>
        <v>0</v>
      </c>
      <c r="H72" s="27"/>
      <c r="I72" s="27"/>
      <c r="J72" s="27"/>
      <c r="K72" s="27"/>
      <c r="L72" s="19"/>
      <c r="M72" s="24"/>
      <c r="P72" s="25"/>
    </row>
    <row r="73" spans="3:16" s="17" customFormat="1" ht="12.75" x14ac:dyDescent="0.2">
      <c r="C73" s="18"/>
      <c r="D73" s="20" t="s">
        <v>142</v>
      </c>
      <c r="E73" s="26" t="s">
        <v>71</v>
      </c>
      <c r="F73" s="22" t="s">
        <v>143</v>
      </c>
      <c r="G73" s="23">
        <f t="shared" si="0"/>
        <v>4.614233333333333</v>
      </c>
      <c r="H73" s="27">
        <v>0</v>
      </c>
      <c r="I73" s="27">
        <v>0</v>
      </c>
      <c r="J73" s="42">
        <f>(январь!J73+февраль!J73+март!J73)/3</f>
        <v>1.107416</v>
      </c>
      <c r="K73" s="42">
        <f>(январь!K73+февраль!K73+март!K73)/3</f>
        <v>3.5068173333333328</v>
      </c>
      <c r="L73" s="19"/>
      <c r="M73" s="24"/>
      <c r="P73" s="25"/>
    </row>
    <row r="74" spans="3:16" s="17" customFormat="1" ht="12.75" x14ac:dyDescent="0.2">
      <c r="C74" s="18"/>
      <c r="D74" s="20" t="s">
        <v>144</v>
      </c>
      <c r="E74" s="48" t="s">
        <v>74</v>
      </c>
      <c r="F74" s="22" t="s">
        <v>145</v>
      </c>
      <c r="G74" s="23">
        <f t="shared" si="0"/>
        <v>0</v>
      </c>
      <c r="H74" s="27"/>
      <c r="I74" s="27"/>
      <c r="J74" s="27"/>
      <c r="K74" s="27"/>
      <c r="L74" s="19"/>
      <c r="M74" s="24"/>
      <c r="P74" s="25"/>
    </row>
    <row r="75" spans="3:16" s="17" customFormat="1" ht="12.75" x14ac:dyDescent="0.2">
      <c r="C75" s="18"/>
      <c r="D75" s="20" t="s">
        <v>146</v>
      </c>
      <c r="E75" s="49" t="s">
        <v>68</v>
      </c>
      <c r="F75" s="22" t="s">
        <v>147</v>
      </c>
      <c r="G75" s="23">
        <f t="shared" si="0"/>
        <v>0</v>
      </c>
      <c r="H75" s="27"/>
      <c r="I75" s="27"/>
      <c r="J75" s="27"/>
      <c r="K75" s="27"/>
      <c r="L75" s="19"/>
      <c r="M75" s="24"/>
      <c r="P75" s="25"/>
    </row>
    <row r="76" spans="3:16" s="17" customFormat="1" ht="12.75" x14ac:dyDescent="0.2">
      <c r="C76" s="18"/>
      <c r="D76" s="20" t="s">
        <v>148</v>
      </c>
      <c r="E76" s="26" t="s">
        <v>79</v>
      </c>
      <c r="F76" s="22" t="s">
        <v>149</v>
      </c>
      <c r="G76" s="23">
        <f t="shared" si="0"/>
        <v>0</v>
      </c>
      <c r="H76" s="23">
        <f>SUM(H77:H78)</f>
        <v>0</v>
      </c>
      <c r="I76" s="23">
        <f>SUM(I77:I78)</f>
        <v>0</v>
      </c>
      <c r="J76" s="23">
        <f>SUM(J77:J78)</f>
        <v>0</v>
      </c>
      <c r="K76" s="23">
        <f>SUM(K77:K78)</f>
        <v>0</v>
      </c>
      <c r="L76" s="19"/>
      <c r="M76" s="24"/>
      <c r="P76" s="25"/>
    </row>
    <row r="77" spans="3:16" s="17" customFormat="1" ht="12.75" x14ac:dyDescent="0.2">
      <c r="C77" s="18"/>
      <c r="D77" s="28" t="s">
        <v>150</v>
      </c>
      <c r="E77" s="29"/>
      <c r="F77" s="30" t="s">
        <v>149</v>
      </c>
      <c r="G77" s="31"/>
      <c r="H77" s="31"/>
      <c r="I77" s="31"/>
      <c r="J77" s="31"/>
      <c r="K77" s="31"/>
      <c r="L77" s="19"/>
      <c r="M77" s="24"/>
      <c r="P77" s="25"/>
    </row>
    <row r="78" spans="3:16" s="17" customFormat="1" ht="12.75" x14ac:dyDescent="0.2">
      <c r="C78" s="18"/>
      <c r="D78" s="32"/>
      <c r="E78" s="33" t="s">
        <v>31</v>
      </c>
      <c r="F78" s="34"/>
      <c r="G78" s="34"/>
      <c r="H78" s="34"/>
      <c r="I78" s="34"/>
      <c r="J78" s="34"/>
      <c r="K78" s="35"/>
      <c r="L78" s="19"/>
      <c r="M78" s="24"/>
      <c r="P78" s="25"/>
    </row>
    <row r="79" spans="3:16" s="17" customFormat="1" ht="12.75" x14ac:dyDescent="0.2">
      <c r="C79" s="18"/>
      <c r="D79" s="20" t="s">
        <v>151</v>
      </c>
      <c r="E79" s="51" t="s">
        <v>83</v>
      </c>
      <c r="F79" s="22" t="s">
        <v>152</v>
      </c>
      <c r="G79" s="23">
        <f t="shared" si="0"/>
        <v>0</v>
      </c>
      <c r="H79" s="27"/>
      <c r="I79" s="27"/>
      <c r="J79" s="27"/>
      <c r="K79" s="27"/>
      <c r="L79" s="19"/>
      <c r="M79" s="24"/>
      <c r="P79" s="25">
        <v>410</v>
      </c>
    </row>
    <row r="80" spans="3:16" s="17" customFormat="1" ht="12.75" x14ac:dyDescent="0.2">
      <c r="C80" s="18"/>
      <c r="D80" s="20" t="s">
        <v>153</v>
      </c>
      <c r="E80" s="21" t="s">
        <v>86</v>
      </c>
      <c r="F80" s="22" t="s">
        <v>154</v>
      </c>
      <c r="G80" s="23">
        <f t="shared" si="0"/>
        <v>4.8519373333333329</v>
      </c>
      <c r="H80" s="27">
        <f>H62</f>
        <v>1.1571199999999999</v>
      </c>
      <c r="I80" s="27"/>
      <c r="J80" s="27">
        <f>K67</f>
        <v>3.694817333333333</v>
      </c>
      <c r="K80" s="27"/>
      <c r="L80" s="19"/>
      <c r="M80" s="24"/>
      <c r="P80" s="25">
        <v>440</v>
      </c>
    </row>
    <row r="81" spans="3:16" s="17" customFormat="1" ht="12.75" x14ac:dyDescent="0.2">
      <c r="C81" s="18"/>
      <c r="D81" s="20" t="s">
        <v>155</v>
      </c>
      <c r="E81" s="21" t="s">
        <v>89</v>
      </c>
      <c r="F81" s="22" t="s">
        <v>156</v>
      </c>
      <c r="G81" s="23">
        <f t="shared" si="0"/>
        <v>0</v>
      </c>
      <c r="H81" s="27"/>
      <c r="I81" s="27"/>
      <c r="J81" s="27"/>
      <c r="K81" s="27"/>
      <c r="L81" s="19"/>
      <c r="M81" s="24"/>
      <c r="P81" s="25">
        <v>450</v>
      </c>
    </row>
    <row r="82" spans="3:16" s="17" customFormat="1" ht="12.75" x14ac:dyDescent="0.2">
      <c r="C82" s="18"/>
      <c r="D82" s="20" t="s">
        <v>157</v>
      </c>
      <c r="E82" s="21" t="s">
        <v>92</v>
      </c>
      <c r="F82" s="22" t="s">
        <v>158</v>
      </c>
      <c r="G82" s="23">
        <f t="shared" si="0"/>
        <v>0</v>
      </c>
      <c r="H82" s="27"/>
      <c r="I82" s="27"/>
      <c r="J82" s="27"/>
      <c r="K82" s="27"/>
      <c r="L82" s="19"/>
      <c r="M82" s="24"/>
      <c r="P82" s="25">
        <v>470</v>
      </c>
    </row>
    <row r="83" spans="3:16" s="17" customFormat="1" ht="12.75" x14ac:dyDescent="0.2">
      <c r="C83" s="18"/>
      <c r="D83" s="20" t="s">
        <v>159</v>
      </c>
      <c r="E83" s="21" t="s">
        <v>95</v>
      </c>
      <c r="F83" s="22" t="s">
        <v>160</v>
      </c>
      <c r="G83" s="23">
        <f t="shared" si="0"/>
        <v>0.188</v>
      </c>
      <c r="H83" s="27"/>
      <c r="I83" s="27"/>
      <c r="J83" s="27"/>
      <c r="K83" s="27">
        <v>0.188</v>
      </c>
      <c r="L83" s="19"/>
      <c r="M83" s="24"/>
      <c r="P83" s="25">
        <v>480</v>
      </c>
    </row>
    <row r="84" spans="3:16" s="17" customFormat="1" ht="12.75" x14ac:dyDescent="0.2">
      <c r="C84" s="18"/>
      <c r="D84" s="20" t="s">
        <v>161</v>
      </c>
      <c r="E84" s="26" t="s">
        <v>162</v>
      </c>
      <c r="F84" s="22" t="s">
        <v>163</v>
      </c>
      <c r="G84" s="23">
        <f t="shared" si="0"/>
        <v>0</v>
      </c>
      <c r="H84" s="27"/>
      <c r="I84" s="27"/>
      <c r="J84" s="27"/>
      <c r="K84" s="27"/>
      <c r="L84" s="19"/>
      <c r="M84" s="24"/>
      <c r="P84" s="25">
        <v>490</v>
      </c>
    </row>
    <row r="85" spans="3:16" s="17" customFormat="1" ht="12.75" x14ac:dyDescent="0.2">
      <c r="C85" s="18"/>
      <c r="D85" s="20" t="s">
        <v>164</v>
      </c>
      <c r="E85" s="21" t="s">
        <v>101</v>
      </c>
      <c r="F85" s="22" t="s">
        <v>165</v>
      </c>
      <c r="G85" s="23">
        <f t="shared" si="0"/>
        <v>0.1885</v>
      </c>
      <c r="H85" s="27"/>
      <c r="I85" s="27"/>
      <c r="J85" s="27"/>
      <c r="K85" s="27">
        <v>0.1885</v>
      </c>
      <c r="L85" s="19"/>
      <c r="M85" s="24"/>
      <c r="P85" s="25"/>
    </row>
    <row r="86" spans="3:16" s="17" customFormat="1" ht="22.5" x14ac:dyDescent="0.2">
      <c r="C86" s="18"/>
      <c r="D86" s="20" t="s">
        <v>166</v>
      </c>
      <c r="E86" s="46" t="s">
        <v>104</v>
      </c>
      <c r="F86" s="22" t="s">
        <v>167</v>
      </c>
      <c r="G86" s="23">
        <f t="shared" si="0"/>
        <v>-5.0000000000000044E-4</v>
      </c>
      <c r="H86" s="23">
        <f>H83-H85</f>
        <v>0</v>
      </c>
      <c r="I86" s="23">
        <f>I83-I85</f>
        <v>0</v>
      </c>
      <c r="J86" s="23">
        <f>J83-J85</f>
        <v>0</v>
      </c>
      <c r="K86" s="23">
        <f>K83-K85</f>
        <v>-5.0000000000000044E-4</v>
      </c>
      <c r="L86" s="19"/>
      <c r="M86" s="24"/>
      <c r="P86" s="25"/>
    </row>
    <row r="87" spans="3:16" s="17" customFormat="1" ht="12.75" x14ac:dyDescent="0.2">
      <c r="C87" s="18"/>
      <c r="D87" s="20" t="s">
        <v>168</v>
      </c>
      <c r="E87" s="21" t="s">
        <v>107</v>
      </c>
      <c r="F87" s="22" t="s">
        <v>169</v>
      </c>
      <c r="G87" s="23">
        <f t="shared" si="0"/>
        <v>1.9100000000000783E-2</v>
      </c>
      <c r="H87" s="23">
        <f>(H52+H64+H69)-(H70+H80+H81+H82+H83)</f>
        <v>0</v>
      </c>
      <c r="I87" s="23">
        <f>(I52+I64+I69)-(I70+I80+I81+I82+I83)</f>
        <v>0</v>
      </c>
      <c r="J87" s="23">
        <f>(J52+J64+J69)-(J70+J80+J81+J82+J83)</f>
        <v>1.9100000000000783E-2</v>
      </c>
      <c r="K87" s="23">
        <f>(K52+K64+K69)-(K70+K80+K81+K82+K83)</f>
        <v>0</v>
      </c>
      <c r="L87" s="19"/>
      <c r="M87" s="24"/>
      <c r="P87" s="25">
        <v>500</v>
      </c>
    </row>
    <row r="88" spans="3:16" s="17" customFormat="1" ht="12.75" x14ac:dyDescent="0.2">
      <c r="C88" s="18"/>
      <c r="D88" s="87" t="s">
        <v>170</v>
      </c>
      <c r="E88" s="88"/>
      <c r="F88" s="88"/>
      <c r="G88" s="88"/>
      <c r="H88" s="88"/>
      <c r="I88" s="88"/>
      <c r="J88" s="88"/>
      <c r="K88" s="89"/>
      <c r="L88" s="19"/>
      <c r="M88" s="24"/>
      <c r="P88" s="36"/>
    </row>
    <row r="89" spans="3:16" s="17" customFormat="1" ht="12.75" x14ac:dyDescent="0.2">
      <c r="C89" s="18"/>
      <c r="D89" s="20" t="s">
        <v>171</v>
      </c>
      <c r="E89" s="21" t="s">
        <v>172</v>
      </c>
      <c r="F89" s="22" t="s">
        <v>173</v>
      </c>
      <c r="G89" s="23">
        <f t="shared" si="0"/>
        <v>4.614233333333333</v>
      </c>
      <c r="H89" s="27"/>
      <c r="I89" s="27"/>
      <c r="J89" s="42">
        <f>J73</f>
        <v>1.107416</v>
      </c>
      <c r="K89" s="42">
        <f>K73</f>
        <v>3.5068173333333328</v>
      </c>
      <c r="L89" s="19"/>
      <c r="M89" s="24"/>
      <c r="P89" s="25">
        <v>600</v>
      </c>
    </row>
    <row r="90" spans="3:16" s="17" customFormat="1" ht="12.75" x14ac:dyDescent="0.2">
      <c r="C90" s="18"/>
      <c r="D90" s="20" t="s">
        <v>174</v>
      </c>
      <c r="E90" s="21" t="s">
        <v>175</v>
      </c>
      <c r="F90" s="22" t="s">
        <v>176</v>
      </c>
      <c r="G90" s="23">
        <f t="shared" si="0"/>
        <v>0</v>
      </c>
      <c r="H90" s="27"/>
      <c r="I90" s="27"/>
      <c r="J90" s="27"/>
      <c r="K90" s="27"/>
      <c r="L90" s="19"/>
      <c r="M90" s="24"/>
      <c r="P90" s="25">
        <v>610</v>
      </c>
    </row>
    <row r="91" spans="3:16" s="17" customFormat="1" ht="12.75" x14ac:dyDescent="0.2">
      <c r="C91" s="18"/>
      <c r="D91" s="20" t="s">
        <v>177</v>
      </c>
      <c r="E91" s="21" t="s">
        <v>178</v>
      </c>
      <c r="F91" s="22" t="s">
        <v>179</v>
      </c>
      <c r="G91" s="23">
        <f t="shared" si="0"/>
        <v>0</v>
      </c>
      <c r="H91" s="27"/>
      <c r="I91" s="27"/>
      <c r="J91" s="27"/>
      <c r="K91" s="27"/>
      <c r="L91" s="19"/>
      <c r="M91" s="24"/>
      <c r="P91" s="25">
        <v>620</v>
      </c>
    </row>
    <row r="92" spans="3:16" s="17" customFormat="1" ht="12.75" x14ac:dyDescent="0.2">
      <c r="C92" s="18"/>
      <c r="D92" s="87" t="s">
        <v>180</v>
      </c>
      <c r="E92" s="88"/>
      <c r="F92" s="88"/>
      <c r="G92" s="88"/>
      <c r="H92" s="88"/>
      <c r="I92" s="88"/>
      <c r="J92" s="88"/>
      <c r="K92" s="89"/>
      <c r="L92" s="19"/>
      <c r="M92" s="24"/>
      <c r="P92" s="36"/>
    </row>
    <row r="93" spans="3:16" s="17" customFormat="1" ht="12.75" x14ac:dyDescent="0.2">
      <c r="C93" s="18"/>
      <c r="D93" s="20" t="s">
        <v>181</v>
      </c>
      <c r="E93" s="21" t="s">
        <v>182</v>
      </c>
      <c r="F93" s="22" t="s">
        <v>183</v>
      </c>
      <c r="G93" s="23">
        <f t="shared" si="0"/>
        <v>0</v>
      </c>
      <c r="H93" s="23">
        <f>SUM(H94:H95)</f>
        <v>0</v>
      </c>
      <c r="I93" s="23">
        <f>SUM(I94:I95)</f>
        <v>0</v>
      </c>
      <c r="J93" s="23">
        <f>SUM(J94:J95)</f>
        <v>0</v>
      </c>
      <c r="K93" s="23">
        <f>SUM(K94:K95)</f>
        <v>0</v>
      </c>
      <c r="L93" s="19"/>
      <c r="M93" s="24"/>
      <c r="P93" s="25">
        <v>700</v>
      </c>
    </row>
    <row r="94" spans="3:16" ht="12.75" x14ac:dyDescent="0.2">
      <c r="C94" s="6"/>
      <c r="D94" s="55" t="s">
        <v>184</v>
      </c>
      <c r="E94" s="26" t="s">
        <v>185</v>
      </c>
      <c r="F94" s="22" t="s">
        <v>186</v>
      </c>
      <c r="G94" s="23">
        <f t="shared" si="0"/>
        <v>0</v>
      </c>
      <c r="H94" s="56"/>
      <c r="I94" s="56"/>
      <c r="J94" s="56"/>
      <c r="K94" s="56"/>
      <c r="L94" s="13"/>
      <c r="M94" s="24"/>
      <c r="P94" s="25">
        <v>710</v>
      </c>
    </row>
    <row r="95" spans="3:16" ht="12.75" x14ac:dyDescent="0.2">
      <c r="C95" s="6"/>
      <c r="D95" s="55" t="s">
        <v>187</v>
      </c>
      <c r="E95" s="26" t="s">
        <v>188</v>
      </c>
      <c r="F95" s="22" t="s">
        <v>189</v>
      </c>
      <c r="G95" s="23">
        <f t="shared" si="0"/>
        <v>0</v>
      </c>
      <c r="H95" s="57">
        <f>H98</f>
        <v>0</v>
      </c>
      <c r="I95" s="57">
        <f>I98</f>
        <v>0</v>
      </c>
      <c r="J95" s="57">
        <f>J98</f>
        <v>0</v>
      </c>
      <c r="K95" s="57">
        <f>K98</f>
        <v>0</v>
      </c>
      <c r="L95" s="13"/>
      <c r="M95" s="24"/>
      <c r="P95" s="25">
        <v>720</v>
      </c>
    </row>
    <row r="96" spans="3:16" ht="12.75" x14ac:dyDescent="0.2">
      <c r="C96" s="6"/>
      <c r="D96" s="55" t="s">
        <v>190</v>
      </c>
      <c r="E96" s="48" t="s">
        <v>191</v>
      </c>
      <c r="F96" s="22" t="s">
        <v>192</v>
      </c>
      <c r="G96" s="23">
        <f t="shared" si="0"/>
        <v>0</v>
      </c>
      <c r="H96" s="56"/>
      <c r="I96" s="56"/>
      <c r="J96" s="56"/>
      <c r="K96" s="56"/>
      <c r="L96" s="13"/>
      <c r="M96" s="24"/>
      <c r="P96" s="25">
        <v>730</v>
      </c>
    </row>
    <row r="97" spans="3:16" ht="12.75" x14ac:dyDescent="0.2">
      <c r="C97" s="6"/>
      <c r="D97" s="55" t="s">
        <v>193</v>
      </c>
      <c r="E97" s="49" t="s">
        <v>194</v>
      </c>
      <c r="F97" s="22" t="s">
        <v>195</v>
      </c>
      <c r="G97" s="23">
        <f t="shared" si="0"/>
        <v>0</v>
      </c>
      <c r="H97" s="56"/>
      <c r="I97" s="56"/>
      <c r="J97" s="56"/>
      <c r="K97" s="56"/>
      <c r="L97" s="13"/>
      <c r="M97" s="24"/>
      <c r="P97" s="25"/>
    </row>
    <row r="98" spans="3:16" ht="12.75" x14ac:dyDescent="0.2">
      <c r="C98" s="6"/>
      <c r="D98" s="55" t="s">
        <v>196</v>
      </c>
      <c r="E98" s="48" t="s">
        <v>197</v>
      </c>
      <c r="F98" s="22" t="s">
        <v>198</v>
      </c>
      <c r="G98" s="23">
        <f t="shared" si="0"/>
        <v>0</v>
      </c>
      <c r="H98" s="56"/>
      <c r="I98" s="56"/>
      <c r="J98" s="56"/>
      <c r="K98" s="56"/>
      <c r="L98" s="13"/>
      <c r="M98" s="24"/>
      <c r="P98" s="25">
        <v>740</v>
      </c>
    </row>
    <row r="99" spans="3:16" ht="12.75" x14ac:dyDescent="0.2">
      <c r="C99" s="6"/>
      <c r="D99" s="55" t="s">
        <v>199</v>
      </c>
      <c r="E99" s="21" t="s">
        <v>200</v>
      </c>
      <c r="F99" s="22" t="s">
        <v>201</v>
      </c>
      <c r="G99" s="23">
        <f t="shared" si="0"/>
        <v>0</v>
      </c>
      <c r="H99" s="57">
        <f>H100+H116</f>
        <v>0</v>
      </c>
      <c r="I99" s="57">
        <f>I100+I116</f>
        <v>0</v>
      </c>
      <c r="J99" s="57">
        <f>J100+J116</f>
        <v>0</v>
      </c>
      <c r="K99" s="57">
        <f>K100+K116</f>
        <v>0</v>
      </c>
      <c r="L99" s="13"/>
      <c r="M99" s="24"/>
      <c r="P99" s="25">
        <v>750</v>
      </c>
    </row>
    <row r="100" spans="3:16" ht="12.75" x14ac:dyDescent="0.2">
      <c r="C100" s="6"/>
      <c r="D100" s="55" t="s">
        <v>202</v>
      </c>
      <c r="E100" s="26" t="s">
        <v>203</v>
      </c>
      <c r="F100" s="22" t="s">
        <v>204</v>
      </c>
      <c r="G100" s="23">
        <f t="shared" si="0"/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57">
        <f>K101+K102</f>
        <v>0</v>
      </c>
      <c r="L100" s="13"/>
      <c r="M100" s="24"/>
      <c r="P100" s="25">
        <v>760</v>
      </c>
    </row>
    <row r="101" spans="3:16" ht="12.75" x14ac:dyDescent="0.2">
      <c r="C101" s="6"/>
      <c r="D101" s="55" t="s">
        <v>205</v>
      </c>
      <c r="E101" s="48" t="s">
        <v>206</v>
      </c>
      <c r="F101" s="22" t="s">
        <v>207</v>
      </c>
      <c r="G101" s="23">
        <f t="shared" si="0"/>
        <v>0</v>
      </c>
      <c r="H101" s="56"/>
      <c r="I101" s="56"/>
      <c r="J101" s="56"/>
      <c r="K101" s="56"/>
      <c r="L101" s="13"/>
      <c r="M101" s="24"/>
      <c r="P101" s="25"/>
    </row>
    <row r="102" spans="3:16" ht="12.75" x14ac:dyDescent="0.2">
      <c r="C102" s="6"/>
      <c r="D102" s="55" t="s">
        <v>208</v>
      </c>
      <c r="E102" s="48" t="s">
        <v>209</v>
      </c>
      <c r="F102" s="22" t="s">
        <v>210</v>
      </c>
      <c r="G102" s="23">
        <f t="shared" si="0"/>
        <v>0</v>
      </c>
      <c r="H102" s="57">
        <f>H103+H106+H109+H112+H113+H114+H115</f>
        <v>0</v>
      </c>
      <c r="I102" s="57">
        <f>I103+I106+I109+I112+I113+I114+I115</f>
        <v>0</v>
      </c>
      <c r="J102" s="57">
        <f>J103+J106+J109+J112+J113+J114+J115</f>
        <v>0</v>
      </c>
      <c r="K102" s="57">
        <f>K103+K106+K109+K112+K113+K114+K115</f>
        <v>0</v>
      </c>
      <c r="L102" s="13"/>
      <c r="M102" s="24"/>
      <c r="P102" s="25"/>
    </row>
    <row r="103" spans="3:16" ht="33.75" x14ac:dyDescent="0.2">
      <c r="C103" s="6"/>
      <c r="D103" s="55" t="s">
        <v>211</v>
      </c>
      <c r="E103" s="49" t="s">
        <v>212</v>
      </c>
      <c r="F103" s="22" t="s">
        <v>213</v>
      </c>
      <c r="G103" s="23">
        <f t="shared" si="0"/>
        <v>0</v>
      </c>
      <c r="H103" s="58">
        <f>H104+H105</f>
        <v>0</v>
      </c>
      <c r="I103" s="58">
        <f>I104+I105</f>
        <v>0</v>
      </c>
      <c r="J103" s="58">
        <f>J104+J105</f>
        <v>0</v>
      </c>
      <c r="K103" s="58">
        <f>K104+K105</f>
        <v>0</v>
      </c>
      <c r="L103" s="13"/>
      <c r="M103" s="24"/>
      <c r="P103" s="25"/>
    </row>
    <row r="104" spans="3:16" ht="12.75" x14ac:dyDescent="0.2">
      <c r="C104" s="6"/>
      <c r="D104" s="55" t="s">
        <v>214</v>
      </c>
      <c r="E104" s="59" t="s">
        <v>215</v>
      </c>
      <c r="F104" s="22" t="s">
        <v>216</v>
      </c>
      <c r="G104" s="23">
        <f t="shared" si="0"/>
        <v>0</v>
      </c>
      <c r="H104" s="56"/>
      <c r="I104" s="56"/>
      <c r="J104" s="56"/>
      <c r="K104" s="56"/>
      <c r="L104" s="13"/>
      <c r="M104" s="24"/>
      <c r="P104" s="25"/>
    </row>
    <row r="105" spans="3:16" ht="12.75" x14ac:dyDescent="0.2">
      <c r="C105" s="6"/>
      <c r="D105" s="55" t="s">
        <v>217</v>
      </c>
      <c r="E105" s="59" t="s">
        <v>218</v>
      </c>
      <c r="F105" s="22" t="s">
        <v>219</v>
      </c>
      <c r="G105" s="23">
        <f t="shared" si="0"/>
        <v>0</v>
      </c>
      <c r="H105" s="56"/>
      <c r="I105" s="56"/>
      <c r="J105" s="56"/>
      <c r="K105" s="56"/>
      <c r="L105" s="13"/>
      <c r="M105" s="24"/>
      <c r="P105" s="25"/>
    </row>
    <row r="106" spans="3:16" ht="33.75" x14ac:dyDescent="0.2">
      <c r="C106" s="6"/>
      <c r="D106" s="55" t="s">
        <v>220</v>
      </c>
      <c r="E106" s="49" t="s">
        <v>221</v>
      </c>
      <c r="F106" s="22" t="s">
        <v>222</v>
      </c>
      <c r="G106" s="23">
        <f t="shared" si="0"/>
        <v>0</v>
      </c>
      <c r="H106" s="58">
        <f>H107+H108</f>
        <v>0</v>
      </c>
      <c r="I106" s="58">
        <f>I107+I108</f>
        <v>0</v>
      </c>
      <c r="J106" s="58">
        <f>J107+J108</f>
        <v>0</v>
      </c>
      <c r="K106" s="58">
        <f>K107+K108</f>
        <v>0</v>
      </c>
      <c r="L106" s="13"/>
      <c r="M106" s="24"/>
      <c r="P106" s="25"/>
    </row>
    <row r="107" spans="3:16" ht="12.75" x14ac:dyDescent="0.2">
      <c r="C107" s="6"/>
      <c r="D107" s="55" t="s">
        <v>223</v>
      </c>
      <c r="E107" s="59" t="s">
        <v>215</v>
      </c>
      <c r="F107" s="22" t="s">
        <v>224</v>
      </c>
      <c r="G107" s="23">
        <f t="shared" si="0"/>
        <v>0</v>
      </c>
      <c r="H107" s="56"/>
      <c r="I107" s="56"/>
      <c r="J107" s="56"/>
      <c r="K107" s="56"/>
      <c r="L107" s="13"/>
      <c r="M107" s="24"/>
      <c r="P107" s="25"/>
    </row>
    <row r="108" spans="3:16" ht="12.75" x14ac:dyDescent="0.2">
      <c r="C108" s="6"/>
      <c r="D108" s="55" t="s">
        <v>225</v>
      </c>
      <c r="E108" s="59" t="s">
        <v>218</v>
      </c>
      <c r="F108" s="22" t="s">
        <v>226</v>
      </c>
      <c r="G108" s="23">
        <f t="shared" si="0"/>
        <v>0</v>
      </c>
      <c r="H108" s="56"/>
      <c r="I108" s="56"/>
      <c r="J108" s="56"/>
      <c r="K108" s="56"/>
      <c r="L108" s="13"/>
      <c r="M108" s="24"/>
      <c r="P108" s="25"/>
    </row>
    <row r="109" spans="3:16" ht="22.5" x14ac:dyDescent="0.2">
      <c r="C109" s="6"/>
      <c r="D109" s="55" t="s">
        <v>227</v>
      </c>
      <c r="E109" s="49" t="s">
        <v>228</v>
      </c>
      <c r="F109" s="22" t="s">
        <v>229</v>
      </c>
      <c r="G109" s="23">
        <f t="shared" si="0"/>
        <v>0</v>
      </c>
      <c r="H109" s="58">
        <f>H110+H111</f>
        <v>0</v>
      </c>
      <c r="I109" s="58">
        <f>I110+I111</f>
        <v>0</v>
      </c>
      <c r="J109" s="58">
        <f>J110+J111</f>
        <v>0</v>
      </c>
      <c r="K109" s="58">
        <f>K110+K111</f>
        <v>0</v>
      </c>
      <c r="L109" s="13"/>
      <c r="M109" s="24"/>
      <c r="P109" s="25"/>
    </row>
    <row r="110" spans="3:16" ht="12.75" x14ac:dyDescent="0.2">
      <c r="C110" s="6"/>
      <c r="D110" s="55" t="s">
        <v>230</v>
      </c>
      <c r="E110" s="59" t="s">
        <v>215</v>
      </c>
      <c r="F110" s="22" t="s">
        <v>231</v>
      </c>
      <c r="G110" s="23">
        <f t="shared" si="0"/>
        <v>0</v>
      </c>
      <c r="H110" s="56"/>
      <c r="I110" s="56"/>
      <c r="J110" s="56"/>
      <c r="K110" s="56"/>
      <c r="L110" s="13"/>
      <c r="M110" s="24"/>
      <c r="P110" s="25"/>
    </row>
    <row r="111" spans="3:16" ht="12.75" x14ac:dyDescent="0.2">
      <c r="C111" s="6"/>
      <c r="D111" s="55" t="s">
        <v>232</v>
      </c>
      <c r="E111" s="59" t="s">
        <v>218</v>
      </c>
      <c r="F111" s="22" t="s">
        <v>233</v>
      </c>
      <c r="G111" s="23">
        <f t="shared" si="0"/>
        <v>0</v>
      </c>
      <c r="H111" s="56"/>
      <c r="I111" s="56"/>
      <c r="J111" s="56"/>
      <c r="K111" s="56"/>
      <c r="L111" s="13"/>
      <c r="M111" s="24"/>
      <c r="P111" s="25"/>
    </row>
    <row r="112" spans="3:16" ht="12.75" x14ac:dyDescent="0.2">
      <c r="C112" s="6"/>
      <c r="D112" s="55" t="s">
        <v>234</v>
      </c>
      <c r="E112" s="49" t="s">
        <v>235</v>
      </c>
      <c r="F112" s="22" t="s">
        <v>236</v>
      </c>
      <c r="G112" s="23">
        <f t="shared" si="0"/>
        <v>0</v>
      </c>
      <c r="H112" s="56"/>
      <c r="I112" s="56"/>
      <c r="J112" s="56"/>
      <c r="K112" s="56"/>
      <c r="L112" s="13"/>
      <c r="M112" s="24"/>
      <c r="P112" s="25"/>
    </row>
    <row r="113" spans="3:16" ht="12.75" x14ac:dyDescent="0.2">
      <c r="C113" s="6"/>
      <c r="D113" s="55" t="s">
        <v>237</v>
      </c>
      <c r="E113" s="49" t="s">
        <v>238</v>
      </c>
      <c r="F113" s="22" t="s">
        <v>239</v>
      </c>
      <c r="G113" s="23">
        <f t="shared" si="0"/>
        <v>0</v>
      </c>
      <c r="H113" s="56"/>
      <c r="I113" s="56"/>
      <c r="J113" s="56"/>
      <c r="K113" s="56"/>
      <c r="L113" s="13"/>
      <c r="M113" s="24"/>
      <c r="P113" s="25"/>
    </row>
    <row r="114" spans="3:16" ht="33.75" x14ac:dyDescent="0.2">
      <c r="C114" s="6"/>
      <c r="D114" s="55" t="s">
        <v>240</v>
      </c>
      <c r="E114" s="49" t="s">
        <v>241</v>
      </c>
      <c r="F114" s="22" t="s">
        <v>242</v>
      </c>
      <c r="G114" s="23">
        <f t="shared" si="0"/>
        <v>0</v>
      </c>
      <c r="H114" s="56"/>
      <c r="I114" s="56"/>
      <c r="J114" s="56"/>
      <c r="K114" s="56"/>
      <c r="L114" s="13"/>
      <c r="M114" s="24"/>
      <c r="P114" s="25"/>
    </row>
    <row r="115" spans="3:16" ht="22.5" x14ac:dyDescent="0.2">
      <c r="C115" s="6"/>
      <c r="D115" s="55" t="s">
        <v>243</v>
      </c>
      <c r="E115" s="49" t="s">
        <v>244</v>
      </c>
      <c r="F115" s="22" t="s">
        <v>245</v>
      </c>
      <c r="G115" s="23">
        <f t="shared" si="0"/>
        <v>0</v>
      </c>
      <c r="H115" s="56"/>
      <c r="I115" s="56"/>
      <c r="J115" s="56"/>
      <c r="K115" s="56"/>
      <c r="L115" s="13"/>
      <c r="M115" s="24"/>
      <c r="P115" s="25"/>
    </row>
    <row r="116" spans="3:16" ht="12.75" x14ac:dyDescent="0.2">
      <c r="C116" s="6"/>
      <c r="D116" s="55" t="s">
        <v>246</v>
      </c>
      <c r="E116" s="26" t="s">
        <v>247</v>
      </c>
      <c r="F116" s="22" t="s">
        <v>248</v>
      </c>
      <c r="G116" s="23">
        <f t="shared" si="0"/>
        <v>0</v>
      </c>
      <c r="H116" s="57">
        <f>H119</f>
        <v>0</v>
      </c>
      <c r="I116" s="57">
        <f>I119</f>
        <v>0</v>
      </c>
      <c r="J116" s="57">
        <f>J119</f>
        <v>0</v>
      </c>
      <c r="K116" s="57">
        <f>K119</f>
        <v>0</v>
      </c>
      <c r="L116" s="13"/>
      <c r="M116" s="24"/>
      <c r="P116" s="25">
        <v>770</v>
      </c>
    </row>
    <row r="117" spans="3:16" ht="12.75" x14ac:dyDescent="0.2">
      <c r="C117" s="6"/>
      <c r="D117" s="55" t="s">
        <v>249</v>
      </c>
      <c r="E117" s="48" t="s">
        <v>191</v>
      </c>
      <c r="F117" s="22" t="s">
        <v>250</v>
      </c>
      <c r="G117" s="23">
        <f t="shared" si="0"/>
        <v>0</v>
      </c>
      <c r="H117" s="56"/>
      <c r="I117" s="56"/>
      <c r="J117" s="56"/>
      <c r="K117" s="56"/>
      <c r="L117" s="13"/>
      <c r="M117" s="24"/>
      <c r="P117" s="25">
        <v>780</v>
      </c>
    </row>
    <row r="118" spans="3:16" ht="12.75" x14ac:dyDescent="0.2">
      <c r="C118" s="6"/>
      <c r="D118" s="55" t="s">
        <v>251</v>
      </c>
      <c r="E118" s="49" t="s">
        <v>252</v>
      </c>
      <c r="F118" s="22" t="s">
        <v>253</v>
      </c>
      <c r="G118" s="23">
        <f t="shared" si="0"/>
        <v>0</v>
      </c>
      <c r="H118" s="56"/>
      <c r="I118" s="56"/>
      <c r="J118" s="56"/>
      <c r="K118" s="56"/>
      <c r="L118" s="13"/>
      <c r="M118" s="24"/>
      <c r="P118" s="25"/>
    </row>
    <row r="119" spans="3:16" ht="12.75" x14ac:dyDescent="0.2">
      <c r="C119" s="6"/>
      <c r="D119" s="55" t="s">
        <v>254</v>
      </c>
      <c r="E119" s="48" t="s">
        <v>197</v>
      </c>
      <c r="F119" s="22" t="s">
        <v>255</v>
      </c>
      <c r="G119" s="23">
        <f t="shared" si="0"/>
        <v>0</v>
      </c>
      <c r="H119" s="56"/>
      <c r="I119" s="56"/>
      <c r="J119" s="56"/>
      <c r="K119" s="56"/>
      <c r="L119" s="13"/>
      <c r="M119" s="24"/>
      <c r="P119" s="25">
        <v>790</v>
      </c>
    </row>
    <row r="120" spans="3:16" ht="12.75" x14ac:dyDescent="0.2">
      <c r="C120" s="6"/>
      <c r="D120" s="55" t="s">
        <v>256</v>
      </c>
      <c r="E120" s="46" t="s">
        <v>257</v>
      </c>
      <c r="F120" s="22" t="s">
        <v>258</v>
      </c>
      <c r="G120" s="23">
        <f t="shared" si="0"/>
        <v>7640.1429999999991</v>
      </c>
      <c r="H120" s="57">
        <f>SUM(H121:H122)</f>
        <v>0</v>
      </c>
      <c r="I120" s="57">
        <f>SUM(I121:I122)</f>
        <v>0</v>
      </c>
      <c r="J120" s="57">
        <f>SUM(J121:J122)</f>
        <v>826.22799999999995</v>
      </c>
      <c r="K120" s="57">
        <f>SUM(K121:K122)</f>
        <v>6813.9149999999991</v>
      </c>
      <c r="L120" s="13"/>
      <c r="M120" s="24"/>
      <c r="P120" s="25"/>
    </row>
    <row r="121" spans="3:16" ht="12.75" x14ac:dyDescent="0.2">
      <c r="C121" s="6"/>
      <c r="D121" s="55" t="s">
        <v>259</v>
      </c>
      <c r="E121" s="26" t="s">
        <v>185</v>
      </c>
      <c r="F121" s="22" t="s">
        <v>260</v>
      </c>
      <c r="G121" s="23">
        <f t="shared" si="0"/>
        <v>7640.1429999999991</v>
      </c>
      <c r="H121" s="56"/>
      <c r="I121" s="56"/>
      <c r="J121" s="56">
        <f>J36</f>
        <v>826.22799999999995</v>
      </c>
      <c r="K121" s="56">
        <f>K36</f>
        <v>6813.9149999999991</v>
      </c>
      <c r="L121" s="13"/>
      <c r="M121" s="24"/>
      <c r="P121" s="25"/>
    </row>
    <row r="122" spans="3:16" ht="12.75" x14ac:dyDescent="0.2">
      <c r="C122" s="6"/>
      <c r="D122" s="55" t="s">
        <v>261</v>
      </c>
      <c r="E122" s="26" t="s">
        <v>188</v>
      </c>
      <c r="F122" s="22" t="s">
        <v>262</v>
      </c>
      <c r="G122" s="23">
        <f t="shared" si="0"/>
        <v>0</v>
      </c>
      <c r="H122" s="57">
        <f>H124</f>
        <v>0</v>
      </c>
      <c r="I122" s="57">
        <f>I124</f>
        <v>0</v>
      </c>
      <c r="J122" s="57">
        <f>J124</f>
        <v>0</v>
      </c>
      <c r="K122" s="57">
        <f>K124</f>
        <v>0</v>
      </c>
      <c r="L122" s="13"/>
      <c r="M122" s="24"/>
      <c r="P122" s="25"/>
    </row>
    <row r="123" spans="3:16" ht="12.75" x14ac:dyDescent="0.2">
      <c r="C123" s="6"/>
      <c r="D123" s="55" t="s">
        <v>263</v>
      </c>
      <c r="E123" s="48" t="s">
        <v>264</v>
      </c>
      <c r="F123" s="22" t="s">
        <v>265</v>
      </c>
      <c r="G123" s="23">
        <f t="shared" si="0"/>
        <v>0</v>
      </c>
      <c r="H123" s="56"/>
      <c r="I123" s="56"/>
      <c r="J123" s="56"/>
      <c r="K123" s="56"/>
      <c r="L123" s="13"/>
      <c r="M123" s="24"/>
      <c r="P123" s="25"/>
    </row>
    <row r="124" spans="3:16" ht="12.75" x14ac:dyDescent="0.2">
      <c r="C124" s="6"/>
      <c r="D124" s="55" t="s">
        <v>266</v>
      </c>
      <c r="E124" s="48" t="s">
        <v>197</v>
      </c>
      <c r="F124" s="22" t="s">
        <v>267</v>
      </c>
      <c r="G124" s="23">
        <f t="shared" si="0"/>
        <v>0</v>
      </c>
      <c r="H124" s="56"/>
      <c r="I124" s="56"/>
      <c r="J124" s="56"/>
      <c r="K124" s="56"/>
      <c r="L124" s="13"/>
      <c r="M124" s="24"/>
      <c r="P124" s="25"/>
    </row>
    <row r="125" spans="3:16" ht="12.75" x14ac:dyDescent="0.2">
      <c r="C125" s="6"/>
      <c r="D125" s="87" t="s">
        <v>268</v>
      </c>
      <c r="E125" s="88"/>
      <c r="F125" s="88"/>
      <c r="G125" s="88"/>
      <c r="H125" s="88"/>
      <c r="I125" s="88"/>
      <c r="J125" s="88"/>
      <c r="K125" s="89"/>
      <c r="L125" s="13"/>
      <c r="M125" s="24"/>
      <c r="P125" s="60"/>
    </row>
    <row r="126" spans="3:16" ht="22.5" x14ac:dyDescent="0.2">
      <c r="C126" s="6"/>
      <c r="D126" s="55" t="s">
        <v>269</v>
      </c>
      <c r="E126" s="21" t="s">
        <v>270</v>
      </c>
      <c r="F126" s="22" t="s">
        <v>271</v>
      </c>
      <c r="G126" s="23">
        <f t="shared" si="0"/>
        <v>0</v>
      </c>
      <c r="H126" s="57">
        <f>SUM( H127:H128)</f>
        <v>0</v>
      </c>
      <c r="I126" s="57">
        <f>SUM( I127:I128)</f>
        <v>0</v>
      </c>
      <c r="J126" s="57">
        <f>SUM( J127:J128)</f>
        <v>0</v>
      </c>
      <c r="K126" s="57">
        <f>SUM( K127:K128)</f>
        <v>0</v>
      </c>
      <c r="L126" s="13"/>
      <c r="M126" s="24"/>
      <c r="P126" s="25">
        <v>800</v>
      </c>
    </row>
    <row r="127" spans="3:16" ht="12.75" x14ac:dyDescent="0.2">
      <c r="C127" s="6"/>
      <c r="D127" s="55" t="s">
        <v>272</v>
      </c>
      <c r="E127" s="26" t="s">
        <v>185</v>
      </c>
      <c r="F127" s="22" t="s">
        <v>273</v>
      </c>
      <c r="G127" s="23">
        <f t="shared" si="0"/>
        <v>0</v>
      </c>
      <c r="H127" s="56"/>
      <c r="I127" s="56"/>
      <c r="J127" s="56"/>
      <c r="K127" s="56"/>
      <c r="L127" s="13"/>
      <c r="M127" s="24"/>
      <c r="P127" s="25">
        <v>810</v>
      </c>
    </row>
    <row r="128" spans="3:16" ht="12.75" x14ac:dyDescent="0.2">
      <c r="C128" s="6"/>
      <c r="D128" s="55" t="s">
        <v>274</v>
      </c>
      <c r="E128" s="26" t="s">
        <v>188</v>
      </c>
      <c r="F128" s="22" t="s">
        <v>275</v>
      </c>
      <c r="G128" s="23">
        <f t="shared" si="0"/>
        <v>0</v>
      </c>
      <c r="H128" s="57">
        <f>H129+H131</f>
        <v>0</v>
      </c>
      <c r="I128" s="57">
        <f>I129+I131</f>
        <v>0</v>
      </c>
      <c r="J128" s="57">
        <f>J129+J131</f>
        <v>0</v>
      </c>
      <c r="K128" s="57">
        <f>K129+K131</f>
        <v>0</v>
      </c>
      <c r="L128" s="13"/>
      <c r="M128" s="24"/>
      <c r="P128" s="25">
        <v>820</v>
      </c>
    </row>
    <row r="129" spans="3:16" ht="12.75" x14ac:dyDescent="0.2">
      <c r="C129" s="6"/>
      <c r="D129" s="55" t="s">
        <v>276</v>
      </c>
      <c r="E129" s="48" t="s">
        <v>277</v>
      </c>
      <c r="F129" s="22" t="s">
        <v>278</v>
      </c>
      <c r="G129" s="23">
        <f t="shared" si="0"/>
        <v>0</v>
      </c>
      <c r="H129" s="56"/>
      <c r="I129" s="56"/>
      <c r="J129" s="56"/>
      <c r="K129" s="56"/>
      <c r="L129" s="13"/>
      <c r="M129" s="24"/>
      <c r="P129" s="25">
        <v>830</v>
      </c>
    </row>
    <row r="130" spans="3:16" ht="12.75" x14ac:dyDescent="0.2">
      <c r="C130" s="6"/>
      <c r="D130" s="55" t="s">
        <v>279</v>
      </c>
      <c r="E130" s="49" t="s">
        <v>280</v>
      </c>
      <c r="F130" s="22" t="s">
        <v>281</v>
      </c>
      <c r="G130" s="23">
        <f t="shared" si="0"/>
        <v>0</v>
      </c>
      <c r="H130" s="56"/>
      <c r="I130" s="56"/>
      <c r="J130" s="56"/>
      <c r="K130" s="56"/>
      <c r="L130" s="13"/>
      <c r="M130" s="24"/>
      <c r="P130" s="60"/>
    </row>
    <row r="131" spans="3:16" ht="12.75" x14ac:dyDescent="0.2">
      <c r="C131" s="6"/>
      <c r="D131" s="55" t="s">
        <v>282</v>
      </c>
      <c r="E131" s="48" t="s">
        <v>283</v>
      </c>
      <c r="F131" s="22" t="s">
        <v>284</v>
      </c>
      <c r="G131" s="23">
        <f t="shared" si="0"/>
        <v>0</v>
      </c>
      <c r="H131" s="56"/>
      <c r="I131" s="56"/>
      <c r="J131" s="56"/>
      <c r="K131" s="56"/>
      <c r="L131" s="13"/>
      <c r="M131" s="24"/>
      <c r="P131" s="25">
        <v>840</v>
      </c>
    </row>
    <row r="132" spans="3:16" ht="12.75" x14ac:dyDescent="0.2">
      <c r="C132" s="6"/>
      <c r="D132" s="55" t="s">
        <v>30</v>
      </c>
      <c r="E132" s="21" t="s">
        <v>285</v>
      </c>
      <c r="F132" s="22" t="s">
        <v>286</v>
      </c>
      <c r="G132" s="23">
        <f t="shared" si="0"/>
        <v>0</v>
      </c>
      <c r="H132" s="58">
        <f>SUM( H133+H138)</f>
        <v>0</v>
      </c>
      <c r="I132" s="58">
        <f>SUM( I133+I138)</f>
        <v>0</v>
      </c>
      <c r="J132" s="58">
        <f>SUM( J133+J138)</f>
        <v>0</v>
      </c>
      <c r="K132" s="58">
        <f>SUM( K133+K138)</f>
        <v>0</v>
      </c>
      <c r="L132" s="61"/>
      <c r="M132" s="24"/>
      <c r="P132" s="25">
        <v>850</v>
      </c>
    </row>
    <row r="133" spans="3:16" ht="12.75" x14ac:dyDescent="0.2">
      <c r="C133" s="6"/>
      <c r="D133" s="55" t="s">
        <v>287</v>
      </c>
      <c r="E133" s="26" t="s">
        <v>185</v>
      </c>
      <c r="F133" s="22" t="s">
        <v>288</v>
      </c>
      <c r="G133" s="23">
        <f t="shared" ref="G133:G146" si="1">SUM(H133:K133)</f>
        <v>0</v>
      </c>
      <c r="H133" s="58">
        <f>SUM( H134:H135)</f>
        <v>0</v>
      </c>
      <c r="I133" s="58">
        <f>SUM( I134:I135)</f>
        <v>0</v>
      </c>
      <c r="J133" s="58">
        <f>SUM( J134:J135)</f>
        <v>0</v>
      </c>
      <c r="K133" s="58">
        <f>SUM( K134:K135)</f>
        <v>0</v>
      </c>
      <c r="L133" s="61"/>
      <c r="M133" s="24"/>
      <c r="P133" s="25">
        <v>860</v>
      </c>
    </row>
    <row r="134" spans="3:16" ht="12.75" x14ac:dyDescent="0.2">
      <c r="C134" s="6"/>
      <c r="D134" s="55" t="s">
        <v>289</v>
      </c>
      <c r="E134" s="48" t="s">
        <v>206</v>
      </c>
      <c r="F134" s="22" t="s">
        <v>290</v>
      </c>
      <c r="G134" s="23">
        <f t="shared" si="1"/>
        <v>0</v>
      </c>
      <c r="H134" s="62"/>
      <c r="I134" s="62"/>
      <c r="J134" s="62"/>
      <c r="K134" s="62"/>
      <c r="L134" s="61"/>
      <c r="M134" s="24"/>
      <c r="P134" s="25"/>
    </row>
    <row r="135" spans="3:16" ht="12.75" x14ac:dyDescent="0.2">
      <c r="C135" s="6"/>
      <c r="D135" s="55" t="s">
        <v>291</v>
      </c>
      <c r="E135" s="48" t="s">
        <v>209</v>
      </c>
      <c r="F135" s="22" t="s">
        <v>292</v>
      </c>
      <c r="G135" s="23">
        <f t="shared" si="1"/>
        <v>0</v>
      </c>
      <c r="H135" s="58">
        <f>H136+H137</f>
        <v>0</v>
      </c>
      <c r="I135" s="58">
        <f>I136+I137</f>
        <v>0</v>
      </c>
      <c r="J135" s="58">
        <f>J136+J137</f>
        <v>0</v>
      </c>
      <c r="K135" s="58">
        <f>K136+K137</f>
        <v>0</v>
      </c>
      <c r="L135" s="61"/>
      <c r="M135" s="24"/>
      <c r="P135" s="25"/>
    </row>
    <row r="136" spans="3:16" ht="12.75" x14ac:dyDescent="0.2">
      <c r="C136" s="6"/>
      <c r="D136" s="55" t="s">
        <v>293</v>
      </c>
      <c r="E136" s="49" t="s">
        <v>215</v>
      </c>
      <c r="F136" s="22" t="s">
        <v>294</v>
      </c>
      <c r="G136" s="23">
        <f t="shared" si="1"/>
        <v>0</v>
      </c>
      <c r="H136" s="62"/>
      <c r="I136" s="62"/>
      <c r="J136" s="62"/>
      <c r="K136" s="62"/>
      <c r="L136" s="61"/>
      <c r="M136" s="24"/>
      <c r="P136" s="25"/>
    </row>
    <row r="137" spans="3:16" ht="12.75" x14ac:dyDescent="0.2">
      <c r="C137" s="6"/>
      <c r="D137" s="55" t="s">
        <v>295</v>
      </c>
      <c r="E137" s="49" t="s">
        <v>296</v>
      </c>
      <c r="F137" s="22" t="s">
        <v>297</v>
      </c>
      <c r="G137" s="23">
        <f t="shared" si="1"/>
        <v>0</v>
      </c>
      <c r="H137" s="62"/>
      <c r="I137" s="62"/>
      <c r="J137" s="62"/>
      <c r="K137" s="62"/>
      <c r="L137" s="61"/>
      <c r="M137" s="24"/>
      <c r="P137" s="25"/>
    </row>
    <row r="138" spans="3:16" ht="12.75" x14ac:dyDescent="0.2">
      <c r="C138" s="6"/>
      <c r="D138" s="55" t="s">
        <v>298</v>
      </c>
      <c r="E138" s="26" t="s">
        <v>247</v>
      </c>
      <c r="F138" s="22" t="s">
        <v>299</v>
      </c>
      <c r="G138" s="23">
        <f t="shared" si="1"/>
        <v>0</v>
      </c>
      <c r="H138" s="58">
        <f>H139+H141</f>
        <v>0</v>
      </c>
      <c r="I138" s="58">
        <f>I139+I141</f>
        <v>0</v>
      </c>
      <c r="J138" s="58">
        <f>J139+J141</f>
        <v>0</v>
      </c>
      <c r="K138" s="58">
        <f>K139+K141</f>
        <v>0</v>
      </c>
      <c r="L138" s="61"/>
      <c r="M138" s="24"/>
      <c r="P138" s="25">
        <v>870</v>
      </c>
    </row>
    <row r="139" spans="3:16" ht="12.75" x14ac:dyDescent="0.2">
      <c r="C139" s="6"/>
      <c r="D139" s="55" t="s">
        <v>300</v>
      </c>
      <c r="E139" s="48" t="s">
        <v>277</v>
      </c>
      <c r="F139" s="22" t="s">
        <v>301</v>
      </c>
      <c r="G139" s="23">
        <f t="shared" si="1"/>
        <v>0</v>
      </c>
      <c r="H139" s="56"/>
      <c r="I139" s="56"/>
      <c r="J139" s="56"/>
      <c r="K139" s="56"/>
      <c r="L139" s="61"/>
      <c r="M139" s="24"/>
      <c r="P139" s="25">
        <v>880</v>
      </c>
    </row>
    <row r="140" spans="3:16" ht="12.75" x14ac:dyDescent="0.2">
      <c r="C140" s="6"/>
      <c r="D140" s="55" t="s">
        <v>302</v>
      </c>
      <c r="E140" s="49" t="s">
        <v>280</v>
      </c>
      <c r="F140" s="22" t="s">
        <v>303</v>
      </c>
      <c r="G140" s="23">
        <f t="shared" si="1"/>
        <v>0</v>
      </c>
      <c r="H140" s="56"/>
      <c r="I140" s="56"/>
      <c r="J140" s="56"/>
      <c r="K140" s="56"/>
      <c r="L140" s="61"/>
      <c r="M140" s="24"/>
      <c r="P140" s="25"/>
    </row>
    <row r="141" spans="3:16" ht="12.75" x14ac:dyDescent="0.2">
      <c r="C141" s="6"/>
      <c r="D141" s="55" t="s">
        <v>304</v>
      </c>
      <c r="E141" s="48" t="s">
        <v>283</v>
      </c>
      <c r="F141" s="22" t="s">
        <v>305</v>
      </c>
      <c r="G141" s="23">
        <f t="shared" si="1"/>
        <v>0</v>
      </c>
      <c r="H141" s="63"/>
      <c r="I141" s="63"/>
      <c r="J141" s="63"/>
      <c r="K141" s="63"/>
      <c r="L141" s="61"/>
      <c r="M141" s="24"/>
      <c r="P141" s="25">
        <v>890</v>
      </c>
    </row>
    <row r="142" spans="3:16" ht="12.75" x14ac:dyDescent="0.2">
      <c r="C142" s="6"/>
      <c r="D142" s="55" t="s">
        <v>306</v>
      </c>
      <c r="E142" s="21" t="s">
        <v>307</v>
      </c>
      <c r="F142" s="22" t="s">
        <v>308</v>
      </c>
      <c r="G142" s="23">
        <f t="shared" si="1"/>
        <v>11124.048207999998</v>
      </c>
      <c r="H142" s="64">
        <f>SUM( H143:H144)</f>
        <v>0</v>
      </c>
      <c r="I142" s="64">
        <f>SUM( I143:I144)</f>
        <v>0</v>
      </c>
      <c r="J142" s="64">
        <f>SUM( J143:J144)</f>
        <v>1202.9879679999999</v>
      </c>
      <c r="K142" s="64">
        <f>SUM( K143:K144)</f>
        <v>9921.0602399999989</v>
      </c>
      <c r="L142" s="61"/>
      <c r="M142" s="24"/>
      <c r="P142" s="25">
        <v>900</v>
      </c>
    </row>
    <row r="143" spans="3:16" ht="12.75" x14ac:dyDescent="0.2">
      <c r="C143" s="6"/>
      <c r="D143" s="55" t="s">
        <v>309</v>
      </c>
      <c r="E143" s="26" t="s">
        <v>185</v>
      </c>
      <c r="F143" s="22" t="s">
        <v>310</v>
      </c>
      <c r="G143" s="23">
        <f t="shared" si="1"/>
        <v>11124.048207999998</v>
      </c>
      <c r="H143" s="63"/>
      <c r="I143" s="63"/>
      <c r="J143" s="65">
        <f>J121*1.456</f>
        <v>1202.9879679999999</v>
      </c>
      <c r="K143" s="65">
        <f>K121*1.456</f>
        <v>9921.0602399999989</v>
      </c>
      <c r="L143" s="61"/>
      <c r="M143" s="24"/>
      <c r="P143" s="25"/>
    </row>
    <row r="144" spans="3:16" ht="12.75" x14ac:dyDescent="0.2">
      <c r="C144" s="6"/>
      <c r="D144" s="55" t="s">
        <v>311</v>
      </c>
      <c r="E144" s="26" t="s">
        <v>188</v>
      </c>
      <c r="F144" s="22" t="s">
        <v>312</v>
      </c>
      <c r="G144" s="23">
        <f t="shared" si="1"/>
        <v>0</v>
      </c>
      <c r="H144" s="64">
        <f>H145+H146</f>
        <v>0</v>
      </c>
      <c r="I144" s="64">
        <f>I145+I146</f>
        <v>0</v>
      </c>
      <c r="J144" s="64">
        <f>J145+J146</f>
        <v>0</v>
      </c>
      <c r="K144" s="64">
        <f>K145+K146</f>
        <v>0</v>
      </c>
      <c r="L144" s="61"/>
      <c r="M144" s="24"/>
      <c r="P144" s="25"/>
    </row>
    <row r="145" spans="3:19" ht="12.75" x14ac:dyDescent="0.2">
      <c r="C145" s="6"/>
      <c r="D145" s="55" t="s">
        <v>313</v>
      </c>
      <c r="E145" s="48" t="s">
        <v>314</v>
      </c>
      <c r="F145" s="22" t="s">
        <v>315</v>
      </c>
      <c r="G145" s="23">
        <f t="shared" si="1"/>
        <v>0</v>
      </c>
      <c r="H145" s="63"/>
      <c r="I145" s="63"/>
      <c r="J145" s="63"/>
      <c r="K145" s="63"/>
      <c r="L145" s="61"/>
      <c r="M145" s="24"/>
      <c r="P145" s="25" t="s">
        <v>316</v>
      </c>
    </row>
    <row r="146" spans="3:19" ht="12.75" x14ac:dyDescent="0.2">
      <c r="C146" s="6"/>
      <c r="D146" s="55" t="s">
        <v>317</v>
      </c>
      <c r="E146" s="48" t="s">
        <v>283</v>
      </c>
      <c r="F146" s="22" t="s">
        <v>318</v>
      </c>
      <c r="G146" s="23">
        <f t="shared" si="1"/>
        <v>0</v>
      </c>
      <c r="H146" s="63"/>
      <c r="I146" s="63"/>
      <c r="J146" s="63"/>
      <c r="K146" s="66"/>
      <c r="L146" s="61"/>
      <c r="M146" s="24"/>
      <c r="P146" s="25" t="s">
        <v>319</v>
      </c>
    </row>
    <row r="147" spans="3:19" x14ac:dyDescent="0.25">
      <c r="D147" s="11"/>
      <c r="E147" s="67"/>
      <c r="F147" s="67"/>
      <c r="G147" s="67"/>
      <c r="H147" s="67"/>
      <c r="I147" s="67"/>
      <c r="J147" s="67"/>
      <c r="K147" s="68"/>
      <c r="L147" s="68"/>
      <c r="M147" s="68"/>
      <c r="N147" s="68"/>
      <c r="O147" s="68"/>
      <c r="P147" s="68"/>
      <c r="Q147" s="68"/>
      <c r="R147" s="69"/>
      <c r="S147" s="69"/>
    </row>
    <row r="148" spans="3:19" ht="12.75" x14ac:dyDescent="0.2">
      <c r="E148" s="24" t="s">
        <v>320</v>
      </c>
      <c r="F148" s="79" t="str">
        <f>IF([4]Титульный!G45="","",[4]Титульный!G45)</f>
        <v>Коммерческий директор</v>
      </c>
      <c r="G148" s="79"/>
      <c r="H148" s="70"/>
      <c r="I148" s="79" t="str">
        <f>IF([4]Титульный!G44="","",[4]Титульный!G44)</f>
        <v>Байков Алексей Александрович</v>
      </c>
      <c r="J148" s="79"/>
      <c r="K148" s="79"/>
      <c r="L148" s="70"/>
      <c r="M148" s="71"/>
      <c r="N148" s="71"/>
      <c r="O148" s="72"/>
      <c r="P148" s="68"/>
      <c r="Q148" s="68"/>
      <c r="R148" s="69"/>
      <c r="S148" s="69"/>
    </row>
    <row r="149" spans="3:19" ht="12.75" x14ac:dyDescent="0.2">
      <c r="E149" s="73" t="s">
        <v>321</v>
      </c>
      <c r="F149" s="78" t="s">
        <v>322</v>
      </c>
      <c r="G149" s="78"/>
      <c r="H149" s="72"/>
      <c r="I149" s="78" t="s">
        <v>323</v>
      </c>
      <c r="J149" s="78"/>
      <c r="K149" s="78"/>
      <c r="L149" s="72"/>
      <c r="M149" s="78" t="s">
        <v>324</v>
      </c>
      <c r="N149" s="78"/>
      <c r="O149" s="24"/>
      <c r="P149" s="68"/>
      <c r="Q149" s="68"/>
      <c r="R149" s="69"/>
      <c r="S149" s="69"/>
    </row>
    <row r="150" spans="3:19" ht="12.75" x14ac:dyDescent="0.2">
      <c r="E150" s="73" t="s">
        <v>325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68"/>
      <c r="Q150" s="68"/>
      <c r="R150" s="69"/>
      <c r="S150" s="69"/>
    </row>
    <row r="151" spans="3:19" ht="12.75" x14ac:dyDescent="0.2">
      <c r="E151" s="73" t="s">
        <v>326</v>
      </c>
      <c r="F151" s="79" t="str">
        <f>IF([4]Титульный!G46="","",[4]Титульный!G46)</f>
        <v>(495) 637 3220</v>
      </c>
      <c r="G151" s="79"/>
      <c r="H151" s="79"/>
      <c r="I151" s="24"/>
      <c r="J151" s="73" t="s">
        <v>327</v>
      </c>
      <c r="K151" s="74"/>
      <c r="L151" s="24"/>
      <c r="M151" s="24"/>
      <c r="N151" s="24"/>
      <c r="O151" s="24"/>
      <c r="P151" s="68"/>
      <c r="Q151" s="68"/>
      <c r="R151" s="69"/>
      <c r="S151" s="69"/>
    </row>
    <row r="152" spans="3:19" ht="12.75" x14ac:dyDescent="0.2">
      <c r="E152" s="24" t="s">
        <v>328</v>
      </c>
      <c r="F152" s="80" t="s">
        <v>329</v>
      </c>
      <c r="G152" s="80"/>
      <c r="H152" s="80"/>
      <c r="I152" s="24"/>
      <c r="J152" s="75" t="s">
        <v>330</v>
      </c>
      <c r="K152" s="75"/>
      <c r="L152" s="24"/>
      <c r="M152" s="24"/>
      <c r="N152" s="24"/>
      <c r="O152" s="24"/>
      <c r="P152" s="68"/>
      <c r="Q152" s="68"/>
      <c r="R152" s="69"/>
      <c r="S152" s="69"/>
    </row>
    <row r="153" spans="3:19" x14ac:dyDescent="0.25"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9"/>
      <c r="S153" s="69"/>
    </row>
    <row r="154" spans="3:19" x14ac:dyDescent="0.25"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9"/>
      <c r="S154" s="69"/>
    </row>
    <row r="155" spans="3:19" x14ac:dyDescent="0.25"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9"/>
      <c r="S155" s="69"/>
    </row>
    <row r="156" spans="3:19" x14ac:dyDescent="0.25"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9"/>
      <c r="S156" s="69"/>
    </row>
    <row r="157" spans="3:19" x14ac:dyDescent="0.25"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9"/>
      <c r="S157" s="69"/>
    </row>
    <row r="158" spans="3:19" x14ac:dyDescent="0.25"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9"/>
      <c r="S158" s="69"/>
    </row>
    <row r="159" spans="3:19" x14ac:dyDescent="0.25"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  <c r="S159" s="69"/>
    </row>
    <row r="160" spans="3:19" x14ac:dyDescent="0.25"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9"/>
      <c r="S160" s="69"/>
    </row>
    <row r="161" spans="5:19" x14ac:dyDescent="0.25"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9"/>
      <c r="S161" s="69"/>
    </row>
    <row r="162" spans="5:19" x14ac:dyDescent="0.25"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9"/>
      <c r="S162" s="69"/>
    </row>
    <row r="163" spans="5:19" x14ac:dyDescent="0.25"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9"/>
      <c r="S163" s="69"/>
    </row>
    <row r="164" spans="5:19" x14ac:dyDescent="0.25"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9"/>
      <c r="S164" s="69"/>
    </row>
    <row r="165" spans="5:19" x14ac:dyDescent="0.25"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9"/>
      <c r="S165" s="69"/>
    </row>
    <row r="166" spans="5:19" x14ac:dyDescent="0.25"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9"/>
      <c r="S166" s="69"/>
    </row>
    <row r="167" spans="5:19" x14ac:dyDescent="0.25"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9"/>
      <c r="S167" s="69"/>
    </row>
    <row r="168" spans="5:19" x14ac:dyDescent="0.25"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9"/>
      <c r="S168" s="69"/>
    </row>
    <row r="169" spans="5:19" x14ac:dyDescent="0.25"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9"/>
      <c r="S169" s="69"/>
    </row>
    <row r="170" spans="5:19" x14ac:dyDescent="0.25"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9"/>
      <c r="S170" s="69"/>
    </row>
    <row r="171" spans="5:19" x14ac:dyDescent="0.25"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9"/>
      <c r="S171" s="69"/>
    </row>
    <row r="172" spans="5:19" x14ac:dyDescent="0.25"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9"/>
      <c r="S172" s="69"/>
    </row>
    <row r="173" spans="5:19" x14ac:dyDescent="0.25"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9"/>
      <c r="S173" s="69"/>
    </row>
    <row r="174" spans="5:19" x14ac:dyDescent="0.25"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9"/>
      <c r="S174" s="69"/>
    </row>
    <row r="175" spans="5:19" x14ac:dyDescent="0.25"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9"/>
      <c r="S175" s="69"/>
    </row>
    <row r="176" spans="5:19" x14ac:dyDescent="0.25"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9"/>
      <c r="S176" s="69"/>
    </row>
    <row r="177" spans="5:19" x14ac:dyDescent="0.25"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9"/>
      <c r="S177" s="69"/>
    </row>
    <row r="178" spans="5:19" x14ac:dyDescent="0.25"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</row>
    <row r="179" spans="5:19" x14ac:dyDescent="0.25"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5:19" x14ac:dyDescent="0.25"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5:19" x14ac:dyDescent="0.25"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</sheetData>
  <mergeCells count="18">
    <mergeCell ref="F148:G148"/>
    <mergeCell ref="I148:K148"/>
    <mergeCell ref="D8:E8"/>
    <mergeCell ref="D11:D12"/>
    <mergeCell ref="E11:E12"/>
    <mergeCell ref="F11:F12"/>
    <mergeCell ref="G11:G12"/>
    <mergeCell ref="H11:K11"/>
    <mergeCell ref="D14:K14"/>
    <mergeCell ref="D51:K51"/>
    <mergeCell ref="D88:K88"/>
    <mergeCell ref="D92:K92"/>
    <mergeCell ref="D125:K125"/>
    <mergeCell ref="F149:G149"/>
    <mergeCell ref="I149:K149"/>
    <mergeCell ref="M149:N149"/>
    <mergeCell ref="F151:H151"/>
    <mergeCell ref="F152:H152"/>
  </mergeCells>
  <dataValidations count="2">
    <dataValidation type="decimal" allowBlank="1" showErrorMessage="1" errorTitle="Ошибка" error="Допускается ввод только действительных чисел!" sqref="G23:K25 G89:K91 G93:K124 G52:K55 G42:K50 G79:K87 G20:K21 G60:K62 G27:K40 G15:K18 G126:K146 G57:K58 G64:K77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25 E6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Y181"/>
  <sheetViews>
    <sheetView view="pageBreakPreview" topLeftCell="C7" zoomScaleNormal="100" zoomScaleSheetLayoutView="100" workbookViewId="0">
      <selection activeCell="K8" sqref="K8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idden="1" x14ac:dyDescent="0.25">
      <c r="S1" s="2"/>
      <c r="T1" s="2"/>
      <c r="U1" s="2"/>
      <c r="V1" s="2"/>
      <c r="Y1" s="2"/>
      <c r="AN1" s="2"/>
      <c r="AO1" s="2"/>
      <c r="AP1" s="2"/>
      <c r="BC1" s="2"/>
      <c r="BF1" s="2"/>
      <c r="BI1" s="2"/>
      <c r="BJ1" s="2"/>
      <c r="BX1" s="2"/>
      <c r="BY1" s="2"/>
    </row>
    <row r="2" spans="1:77" hidden="1" x14ac:dyDescent="0.25"/>
    <row r="3" spans="1:77" hidden="1" x14ac:dyDescent="0.25"/>
    <row r="4" spans="1:77" hidden="1" x14ac:dyDescent="0.2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idden="1" x14ac:dyDescent="0.2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idden="1" x14ac:dyDescent="0.25">
      <c r="A6" s="5"/>
    </row>
    <row r="7" spans="1:77" ht="12" customHeight="1" x14ac:dyDescent="0.25">
      <c r="A7" s="5"/>
      <c r="D7" s="6"/>
      <c r="E7" s="6"/>
      <c r="F7" s="6"/>
      <c r="G7" s="6"/>
      <c r="H7" s="6"/>
      <c r="I7" s="6"/>
      <c r="J7" s="6"/>
      <c r="K7" s="7" t="s">
        <v>334</v>
      </c>
      <c r="Q7" s="8"/>
    </row>
    <row r="8" spans="1:77" ht="22.5" customHeight="1" x14ac:dyDescent="0.25">
      <c r="A8" s="5"/>
      <c r="D8" s="81" t="s">
        <v>11</v>
      </c>
      <c r="E8" s="8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77" x14ac:dyDescent="0.25">
      <c r="A9" s="5"/>
      <c r="D9" s="10" t="str">
        <f>IF(org="","Не определено",org)</f>
        <v>ЗАО "Коттон Вэй"</v>
      </c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77" ht="12" customHeight="1" x14ac:dyDescent="0.25">
      <c r="D10" s="11"/>
      <c r="E10" s="11"/>
      <c r="F10" s="6"/>
      <c r="G10" s="6"/>
      <c r="H10" s="6"/>
      <c r="I10" s="6"/>
      <c r="K10" s="12" t="s">
        <v>12</v>
      </c>
    </row>
    <row r="11" spans="1:77" ht="15" customHeight="1" x14ac:dyDescent="0.25">
      <c r="C11" s="6"/>
      <c r="D11" s="82" t="s">
        <v>13</v>
      </c>
      <c r="E11" s="84" t="s">
        <v>14</v>
      </c>
      <c r="F11" s="84" t="s">
        <v>15</v>
      </c>
      <c r="G11" s="84" t="s">
        <v>16</v>
      </c>
      <c r="H11" s="84" t="s">
        <v>17</v>
      </c>
      <c r="I11" s="84"/>
      <c r="J11" s="84"/>
      <c r="K11" s="86"/>
      <c r="L11" s="13"/>
    </row>
    <row r="12" spans="1:77" ht="15" customHeight="1" x14ac:dyDescent="0.25">
      <c r="C12" s="6"/>
      <c r="D12" s="83"/>
      <c r="E12" s="85"/>
      <c r="F12" s="85"/>
      <c r="G12" s="85"/>
      <c r="H12" s="14" t="s">
        <v>18</v>
      </c>
      <c r="I12" s="14" t="s">
        <v>19</v>
      </c>
      <c r="J12" s="14" t="s">
        <v>20</v>
      </c>
      <c r="K12" s="15" t="s">
        <v>21</v>
      </c>
      <c r="L12" s="13"/>
    </row>
    <row r="13" spans="1:77" ht="12" customHeight="1" x14ac:dyDescent="0.25">
      <c r="D13" s="16">
        <v>0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</row>
    <row r="14" spans="1:77" s="17" customFormat="1" ht="15" customHeight="1" x14ac:dyDescent="0.25">
      <c r="C14" s="18"/>
      <c r="D14" s="87" t="s">
        <v>22</v>
      </c>
      <c r="E14" s="88"/>
      <c r="F14" s="88"/>
      <c r="G14" s="88"/>
      <c r="H14" s="88"/>
      <c r="I14" s="88"/>
      <c r="J14" s="88"/>
      <c r="K14" s="89"/>
      <c r="L14" s="19"/>
    </row>
    <row r="15" spans="1:77" s="17" customFormat="1" ht="15" customHeight="1" x14ac:dyDescent="0.2">
      <c r="C15" s="18"/>
      <c r="D15" s="20" t="s">
        <v>23</v>
      </c>
      <c r="E15" s="21" t="s">
        <v>24</v>
      </c>
      <c r="F15" s="22">
        <v>10</v>
      </c>
      <c r="G15" s="23">
        <f>SUM(H15:K15)</f>
        <v>1891.778</v>
      </c>
      <c r="H15" s="23">
        <f>H16+H17+H20+H23</f>
        <v>1502.086</v>
      </c>
      <c r="I15" s="23">
        <f>I16+I17+I20+I23</f>
        <v>0</v>
      </c>
      <c r="J15" s="23">
        <f>J16+J17+J20+J23</f>
        <v>389.69200000000001</v>
      </c>
      <c r="K15" s="23">
        <f>K16+K17+K20+K23</f>
        <v>0</v>
      </c>
      <c r="L15" s="19"/>
      <c r="M15" s="24"/>
      <c r="P15" s="25">
        <v>10</v>
      </c>
    </row>
    <row r="16" spans="1:77" s="17" customFormat="1" ht="15" customHeight="1" x14ac:dyDescent="0.2">
      <c r="C16" s="18"/>
      <c r="D16" s="20" t="s">
        <v>25</v>
      </c>
      <c r="E16" s="26" t="s">
        <v>26</v>
      </c>
      <c r="F16" s="22">
        <v>20</v>
      </c>
      <c r="G16" s="23">
        <f t="shared" ref="G16:G132" si="0">SUM(H16:K16)</f>
        <v>0</v>
      </c>
      <c r="H16" s="27"/>
      <c r="I16" s="27"/>
      <c r="J16" s="27"/>
      <c r="K16" s="27"/>
      <c r="L16" s="19"/>
      <c r="M16" s="24"/>
      <c r="P16" s="25">
        <v>20</v>
      </c>
    </row>
    <row r="17" spans="3:16" s="17" customFormat="1" ht="12.75" x14ac:dyDescent="0.2">
      <c r="C17" s="18"/>
      <c r="D17" s="20" t="s">
        <v>27</v>
      </c>
      <c r="E17" s="26" t="s">
        <v>28</v>
      </c>
      <c r="F17" s="22">
        <v>30</v>
      </c>
      <c r="G17" s="23">
        <f t="shared" si="0"/>
        <v>0</v>
      </c>
      <c r="H17" s="23">
        <f>SUM(H18:H19)</f>
        <v>0</v>
      </c>
      <c r="I17" s="23">
        <f>SUM(I18:I19)</f>
        <v>0</v>
      </c>
      <c r="J17" s="23">
        <f>SUM(J18:J19)</f>
        <v>0</v>
      </c>
      <c r="K17" s="23">
        <f>SUM(K18:K19)</f>
        <v>0</v>
      </c>
      <c r="L17" s="19"/>
      <c r="M17" s="24"/>
      <c r="P17" s="25">
        <v>30</v>
      </c>
    </row>
    <row r="18" spans="3:16" s="17" customFormat="1" ht="12.75" x14ac:dyDescent="0.2">
      <c r="C18" s="18"/>
      <c r="D18" s="28" t="s">
        <v>29</v>
      </c>
      <c r="E18" s="29"/>
      <c r="F18" s="30" t="s">
        <v>30</v>
      </c>
      <c r="G18" s="31"/>
      <c r="H18" s="31"/>
      <c r="I18" s="31"/>
      <c r="J18" s="31"/>
      <c r="K18" s="31"/>
      <c r="L18" s="19"/>
      <c r="M18" s="24"/>
      <c r="P18" s="25"/>
    </row>
    <row r="19" spans="3:16" s="17" customFormat="1" ht="12.75" x14ac:dyDescent="0.2">
      <c r="C19" s="18"/>
      <c r="D19" s="32"/>
      <c r="E19" s="33" t="s">
        <v>31</v>
      </c>
      <c r="F19" s="34"/>
      <c r="G19" s="34"/>
      <c r="H19" s="34"/>
      <c r="I19" s="34"/>
      <c r="J19" s="34"/>
      <c r="K19" s="35"/>
      <c r="L19" s="19"/>
      <c r="M19" s="24"/>
      <c r="P19" s="36"/>
    </row>
    <row r="20" spans="3:16" s="17" customFormat="1" ht="12.75" x14ac:dyDescent="0.2">
      <c r="C20" s="18"/>
      <c r="D20" s="20" t="s">
        <v>32</v>
      </c>
      <c r="E20" s="26" t="s">
        <v>33</v>
      </c>
      <c r="F20" s="22" t="s">
        <v>34</v>
      </c>
      <c r="G20" s="23">
        <f t="shared" si="0"/>
        <v>0</v>
      </c>
      <c r="H20" s="23">
        <f>SUM(H21:H22)</f>
        <v>0</v>
      </c>
      <c r="I20" s="23">
        <f>SUM(I21:I22)</f>
        <v>0</v>
      </c>
      <c r="J20" s="23">
        <f>SUM(J21:J22)</f>
        <v>0</v>
      </c>
      <c r="K20" s="23">
        <f>SUM(K21:K22)</f>
        <v>0</v>
      </c>
      <c r="L20" s="19"/>
      <c r="M20" s="24"/>
      <c r="P20" s="36"/>
    </row>
    <row r="21" spans="3:16" s="17" customFormat="1" ht="12.75" x14ac:dyDescent="0.2">
      <c r="C21" s="18"/>
      <c r="D21" s="28" t="s">
        <v>35</v>
      </c>
      <c r="E21" s="29"/>
      <c r="F21" s="30" t="s">
        <v>34</v>
      </c>
      <c r="G21" s="31"/>
      <c r="H21" s="31"/>
      <c r="I21" s="31"/>
      <c r="J21" s="31"/>
      <c r="K21" s="31"/>
      <c r="L21" s="19"/>
      <c r="M21" s="24"/>
      <c r="P21" s="25"/>
    </row>
    <row r="22" spans="3:16" s="17" customFormat="1" ht="12.75" x14ac:dyDescent="0.2">
      <c r="C22" s="18"/>
      <c r="D22" s="32"/>
      <c r="E22" s="33" t="s">
        <v>31</v>
      </c>
      <c r="F22" s="34"/>
      <c r="G22" s="34"/>
      <c r="H22" s="34"/>
      <c r="I22" s="34"/>
      <c r="J22" s="34"/>
      <c r="K22" s="35"/>
      <c r="L22" s="19"/>
      <c r="M22" s="24"/>
      <c r="P22" s="36"/>
    </row>
    <row r="23" spans="3:16" s="17" customFormat="1" ht="12.75" x14ac:dyDescent="0.2">
      <c r="C23" s="18"/>
      <c r="D23" s="20" t="s">
        <v>36</v>
      </c>
      <c r="E23" s="26" t="s">
        <v>37</v>
      </c>
      <c r="F23" s="22" t="s">
        <v>38</v>
      </c>
      <c r="G23" s="23">
        <f t="shared" si="0"/>
        <v>1891.778</v>
      </c>
      <c r="H23" s="23">
        <f>SUM(H24:H26)</f>
        <v>1502.086</v>
      </c>
      <c r="I23" s="23">
        <f>SUM(I24:I26)</f>
        <v>0</v>
      </c>
      <c r="J23" s="23">
        <f>SUM(J24:J26)</f>
        <v>389.69200000000001</v>
      </c>
      <c r="K23" s="23">
        <f>SUM(K24:K26)</f>
        <v>0</v>
      </c>
      <c r="L23" s="19"/>
      <c r="M23" s="24"/>
      <c r="P23" s="25">
        <v>40</v>
      </c>
    </row>
    <row r="24" spans="3:16" s="17" customFormat="1" ht="12.75" x14ac:dyDescent="0.2">
      <c r="C24" s="18"/>
      <c r="D24" s="28" t="s">
        <v>39</v>
      </c>
      <c r="E24" s="29"/>
      <c r="F24" s="30" t="s">
        <v>38</v>
      </c>
      <c r="G24" s="31"/>
      <c r="H24" s="31"/>
      <c r="I24" s="31"/>
      <c r="J24" s="31"/>
      <c r="K24" s="31"/>
      <c r="L24" s="19"/>
      <c r="M24" s="24"/>
      <c r="P24" s="25"/>
    </row>
    <row r="25" spans="3:16" s="17" customFormat="1" ht="15" x14ac:dyDescent="0.25">
      <c r="C25" s="37" t="s">
        <v>40</v>
      </c>
      <c r="D25" s="38" t="s">
        <v>41</v>
      </c>
      <c r="E25" s="39" t="s">
        <v>42</v>
      </c>
      <c r="F25" s="40">
        <v>431</v>
      </c>
      <c r="G25" s="41">
        <f>SUM(H25:K25)</f>
        <v>1891.778</v>
      </c>
      <c r="H25" s="42">
        <v>1502.086</v>
      </c>
      <c r="I25" s="42">
        <v>0</v>
      </c>
      <c r="J25" s="42">
        <v>389.69200000000001</v>
      </c>
      <c r="K25" s="42">
        <v>0</v>
      </c>
      <c r="L25" s="19"/>
      <c r="M25" s="43" t="s">
        <v>43</v>
      </c>
      <c r="N25" s="44" t="s">
        <v>44</v>
      </c>
      <c r="O25" s="44" t="s">
        <v>45</v>
      </c>
    </row>
    <row r="26" spans="3:16" s="17" customFormat="1" ht="12.75" x14ac:dyDescent="0.2">
      <c r="C26" s="18"/>
      <c r="D26" s="32"/>
      <c r="E26" s="33" t="s">
        <v>31</v>
      </c>
      <c r="F26" s="34"/>
      <c r="G26" s="34"/>
      <c r="H26" s="34"/>
      <c r="I26" s="34"/>
      <c r="J26" s="34"/>
      <c r="K26" s="35"/>
      <c r="L26" s="19"/>
      <c r="M26" s="24"/>
      <c r="P26" s="25"/>
    </row>
    <row r="27" spans="3:16" s="17" customFormat="1" ht="12.75" x14ac:dyDescent="0.2">
      <c r="C27" s="18"/>
      <c r="D27" s="20" t="s">
        <v>46</v>
      </c>
      <c r="E27" s="21" t="s">
        <v>47</v>
      </c>
      <c r="F27" s="22" t="s">
        <v>48</v>
      </c>
      <c r="G27" s="23">
        <f t="shared" si="0"/>
        <v>3150.9809999999998</v>
      </c>
      <c r="H27" s="23">
        <f>H29+H30+H31</f>
        <v>0</v>
      </c>
      <c r="I27" s="23">
        <f>I28+I30+I31</f>
        <v>0</v>
      </c>
      <c r="J27" s="23">
        <f>J28+J29+J31</f>
        <v>1502.086</v>
      </c>
      <c r="K27" s="23">
        <f>K28+K29+K30</f>
        <v>1648.895</v>
      </c>
      <c r="L27" s="19"/>
      <c r="M27" s="24"/>
      <c r="P27" s="25">
        <v>50</v>
      </c>
    </row>
    <row r="28" spans="3:16" s="17" customFormat="1" ht="12.75" x14ac:dyDescent="0.2">
      <c r="C28" s="18"/>
      <c r="D28" s="20" t="s">
        <v>49</v>
      </c>
      <c r="E28" s="26" t="s">
        <v>18</v>
      </c>
      <c r="F28" s="22" t="s">
        <v>50</v>
      </c>
      <c r="G28" s="23">
        <f t="shared" si="0"/>
        <v>1502.086</v>
      </c>
      <c r="H28" s="45"/>
      <c r="I28" s="27"/>
      <c r="J28" s="27">
        <f>H25</f>
        <v>1502.086</v>
      </c>
      <c r="K28" s="27"/>
      <c r="L28" s="19"/>
      <c r="M28" s="24"/>
      <c r="P28" s="25">
        <v>60</v>
      </c>
    </row>
    <row r="29" spans="3:16" s="17" customFormat="1" ht="12.75" x14ac:dyDescent="0.2">
      <c r="C29" s="18"/>
      <c r="D29" s="20" t="s">
        <v>51</v>
      </c>
      <c r="E29" s="26" t="s">
        <v>19</v>
      </c>
      <c r="F29" s="22" t="s">
        <v>52</v>
      </c>
      <c r="G29" s="23">
        <f t="shared" si="0"/>
        <v>0</v>
      </c>
      <c r="H29" s="27"/>
      <c r="I29" s="45"/>
      <c r="J29" s="27"/>
      <c r="K29" s="27"/>
      <c r="L29" s="19"/>
      <c r="M29" s="24"/>
      <c r="P29" s="25">
        <v>70</v>
      </c>
    </row>
    <row r="30" spans="3:16" s="17" customFormat="1" ht="12.75" x14ac:dyDescent="0.2">
      <c r="C30" s="18"/>
      <c r="D30" s="20" t="s">
        <v>53</v>
      </c>
      <c r="E30" s="26" t="s">
        <v>20</v>
      </c>
      <c r="F30" s="22" t="s">
        <v>54</v>
      </c>
      <c r="G30" s="23">
        <f t="shared" si="0"/>
        <v>1648.895</v>
      </c>
      <c r="H30" s="27"/>
      <c r="I30" s="27"/>
      <c r="J30" s="45"/>
      <c r="K30" s="27">
        <f>H25+J25-J36-J46</f>
        <v>1648.895</v>
      </c>
      <c r="L30" s="19"/>
      <c r="M30" s="24"/>
      <c r="P30" s="25">
        <v>80</v>
      </c>
    </row>
    <row r="31" spans="3:16" s="17" customFormat="1" ht="12.75" x14ac:dyDescent="0.2">
      <c r="C31" s="18"/>
      <c r="D31" s="20" t="s">
        <v>55</v>
      </c>
      <c r="E31" s="26" t="s">
        <v>56</v>
      </c>
      <c r="F31" s="22" t="s">
        <v>57</v>
      </c>
      <c r="G31" s="23">
        <f t="shared" si="0"/>
        <v>0</v>
      </c>
      <c r="H31" s="27"/>
      <c r="I31" s="27"/>
      <c r="J31" s="27"/>
      <c r="K31" s="45"/>
      <c r="L31" s="19"/>
      <c r="M31" s="24"/>
      <c r="P31" s="25">
        <v>90</v>
      </c>
    </row>
    <row r="32" spans="3:16" s="17" customFormat="1" ht="12.75" x14ac:dyDescent="0.2">
      <c r="C32" s="18"/>
      <c r="D32" s="20" t="s">
        <v>58</v>
      </c>
      <c r="E32" s="46" t="s">
        <v>59</v>
      </c>
      <c r="F32" s="22" t="s">
        <v>60</v>
      </c>
      <c r="G32" s="23">
        <f t="shared" si="0"/>
        <v>0</v>
      </c>
      <c r="H32" s="27"/>
      <c r="I32" s="27"/>
      <c r="J32" s="27"/>
      <c r="K32" s="27"/>
      <c r="L32" s="19"/>
      <c r="M32" s="24"/>
      <c r="P32" s="25"/>
    </row>
    <row r="33" spans="3:16" s="17" customFormat="1" ht="12.75" x14ac:dyDescent="0.2">
      <c r="C33" s="18"/>
      <c r="D33" s="20" t="s">
        <v>61</v>
      </c>
      <c r="E33" s="21" t="s">
        <v>62</v>
      </c>
      <c r="F33" s="47" t="s">
        <v>63</v>
      </c>
      <c r="G33" s="23">
        <f t="shared" si="0"/>
        <v>1878.5650000000001</v>
      </c>
      <c r="H33" s="23">
        <f>H34+H36+H39+H42</f>
        <v>0</v>
      </c>
      <c r="I33" s="23">
        <f>I34+I36+I39+I42</f>
        <v>0</v>
      </c>
      <c r="J33" s="23">
        <f>J34+J36+J39+J42</f>
        <v>242.88300000000001</v>
      </c>
      <c r="K33" s="23">
        <f>K34+K36+K39+K42</f>
        <v>1635.682</v>
      </c>
      <c r="L33" s="19"/>
      <c r="M33" s="24"/>
      <c r="P33" s="25">
        <v>100</v>
      </c>
    </row>
    <row r="34" spans="3:16" s="17" customFormat="1" ht="22.5" x14ac:dyDescent="0.2">
      <c r="C34" s="18"/>
      <c r="D34" s="20" t="s">
        <v>64</v>
      </c>
      <c r="E34" s="26" t="s">
        <v>65</v>
      </c>
      <c r="F34" s="22" t="s">
        <v>66</v>
      </c>
      <c r="G34" s="23">
        <f t="shared" si="0"/>
        <v>0</v>
      </c>
      <c r="H34" s="27"/>
      <c r="I34" s="27"/>
      <c r="J34" s="27"/>
      <c r="K34" s="27"/>
      <c r="L34" s="19"/>
      <c r="M34" s="24"/>
      <c r="P34" s="25"/>
    </row>
    <row r="35" spans="3:16" s="17" customFormat="1" ht="12.75" x14ac:dyDescent="0.2">
      <c r="C35" s="18"/>
      <c r="D35" s="20" t="s">
        <v>67</v>
      </c>
      <c r="E35" s="48" t="s">
        <v>68</v>
      </c>
      <c r="F35" s="22" t="s">
        <v>69</v>
      </c>
      <c r="G35" s="23">
        <f t="shared" si="0"/>
        <v>0</v>
      </c>
      <c r="H35" s="27"/>
      <c r="I35" s="27"/>
      <c r="J35" s="27"/>
      <c r="K35" s="27"/>
      <c r="L35" s="19"/>
      <c r="M35" s="24"/>
      <c r="P35" s="25"/>
    </row>
    <row r="36" spans="3:16" s="17" customFormat="1" ht="12.75" x14ac:dyDescent="0.2">
      <c r="C36" s="18"/>
      <c r="D36" s="20" t="s">
        <v>70</v>
      </c>
      <c r="E36" s="26" t="s">
        <v>71</v>
      </c>
      <c r="F36" s="22" t="s">
        <v>72</v>
      </c>
      <c r="G36" s="23">
        <f t="shared" si="0"/>
        <v>1878.5650000000001</v>
      </c>
      <c r="H36" s="27">
        <v>0</v>
      </c>
      <c r="I36" s="27">
        <v>0</v>
      </c>
      <c r="J36" s="27">
        <v>242.88300000000001</v>
      </c>
      <c r="K36" s="27">
        <v>1635.682</v>
      </c>
      <c r="L36" s="19"/>
      <c r="M36" s="24"/>
      <c r="P36" s="25"/>
    </row>
    <row r="37" spans="3:16" s="17" customFormat="1" ht="12.75" x14ac:dyDescent="0.2">
      <c r="C37" s="18"/>
      <c r="D37" s="20" t="s">
        <v>73</v>
      </c>
      <c r="E37" s="48" t="s">
        <v>74</v>
      </c>
      <c r="F37" s="22" t="s">
        <v>75</v>
      </c>
      <c r="G37" s="23">
        <f t="shared" si="0"/>
        <v>0</v>
      </c>
      <c r="H37" s="27"/>
      <c r="I37" s="27"/>
      <c r="J37" s="27"/>
      <c r="K37" s="27"/>
      <c r="L37" s="19"/>
      <c r="M37" s="24"/>
      <c r="P37" s="25"/>
    </row>
    <row r="38" spans="3:16" s="17" customFormat="1" ht="12.75" x14ac:dyDescent="0.2">
      <c r="C38" s="18"/>
      <c r="D38" s="20" t="s">
        <v>76</v>
      </c>
      <c r="E38" s="49" t="s">
        <v>68</v>
      </c>
      <c r="F38" s="22" t="s">
        <v>77</v>
      </c>
      <c r="G38" s="23">
        <f t="shared" si="0"/>
        <v>0</v>
      </c>
      <c r="H38" s="27"/>
      <c r="I38" s="27"/>
      <c r="J38" s="27"/>
      <c r="K38" s="27"/>
      <c r="L38" s="19"/>
      <c r="M38" s="24"/>
      <c r="P38" s="25"/>
    </row>
    <row r="39" spans="3:16" s="17" customFormat="1" ht="12.75" x14ac:dyDescent="0.2">
      <c r="C39" s="18"/>
      <c r="D39" s="20" t="s">
        <v>78</v>
      </c>
      <c r="E39" s="26" t="s">
        <v>79</v>
      </c>
      <c r="F39" s="22" t="s">
        <v>80</v>
      </c>
      <c r="G39" s="23">
        <f t="shared" si="0"/>
        <v>0</v>
      </c>
      <c r="H39" s="23">
        <f>SUM(H40:H41)</f>
        <v>0</v>
      </c>
      <c r="I39" s="23">
        <f>SUM(I40:I41)</f>
        <v>0</v>
      </c>
      <c r="J39" s="23">
        <f>SUM(J40:J41)</f>
        <v>0</v>
      </c>
      <c r="K39" s="23">
        <f>SUM(K40:K41)</f>
        <v>0</v>
      </c>
      <c r="L39" s="19"/>
      <c r="M39" s="24"/>
      <c r="P39" s="25"/>
    </row>
    <row r="40" spans="3:16" s="17" customFormat="1" ht="12.75" x14ac:dyDescent="0.2">
      <c r="C40" s="18"/>
      <c r="D40" s="28" t="s">
        <v>81</v>
      </c>
      <c r="E40" s="29"/>
      <c r="F40" s="30" t="s">
        <v>80</v>
      </c>
      <c r="G40" s="31"/>
      <c r="H40" s="31"/>
      <c r="I40" s="31"/>
      <c r="J40" s="31"/>
      <c r="K40" s="31"/>
      <c r="L40" s="19"/>
      <c r="M40" s="24"/>
      <c r="P40" s="25"/>
    </row>
    <row r="41" spans="3:16" s="17" customFormat="1" ht="12.75" x14ac:dyDescent="0.2">
      <c r="C41" s="18"/>
      <c r="D41" s="50"/>
      <c r="E41" s="33" t="s">
        <v>31</v>
      </c>
      <c r="F41" s="34"/>
      <c r="G41" s="34"/>
      <c r="H41" s="34"/>
      <c r="I41" s="34"/>
      <c r="J41" s="34"/>
      <c r="K41" s="35"/>
      <c r="L41" s="19"/>
      <c r="M41" s="24"/>
      <c r="P41" s="25"/>
    </row>
    <row r="42" spans="3:16" s="17" customFormat="1" ht="12.75" x14ac:dyDescent="0.2">
      <c r="C42" s="18"/>
      <c r="D42" s="20" t="s">
        <v>82</v>
      </c>
      <c r="E42" s="51" t="s">
        <v>83</v>
      </c>
      <c r="F42" s="22" t="s">
        <v>84</v>
      </c>
      <c r="G42" s="23">
        <f t="shared" si="0"/>
        <v>0</v>
      </c>
      <c r="H42" s="27"/>
      <c r="I42" s="27"/>
      <c r="J42" s="27"/>
      <c r="K42" s="27"/>
      <c r="L42" s="19"/>
      <c r="M42" s="24"/>
      <c r="P42" s="25">
        <v>120</v>
      </c>
    </row>
    <row r="43" spans="3:16" s="17" customFormat="1" ht="12.75" x14ac:dyDescent="0.2">
      <c r="C43" s="18"/>
      <c r="D43" s="20" t="s">
        <v>85</v>
      </c>
      <c r="E43" s="21" t="s">
        <v>86</v>
      </c>
      <c r="F43" s="22" t="s">
        <v>87</v>
      </c>
      <c r="G43" s="23">
        <f t="shared" si="0"/>
        <v>3150.9809999999998</v>
      </c>
      <c r="H43" s="27">
        <f>J28</f>
        <v>1502.086</v>
      </c>
      <c r="I43" s="27"/>
      <c r="J43" s="27">
        <f>K30</f>
        <v>1648.895</v>
      </c>
      <c r="K43" s="27"/>
      <c r="L43" s="19"/>
      <c r="M43" s="24"/>
      <c r="P43" s="25">
        <v>150</v>
      </c>
    </row>
    <row r="44" spans="3:16" s="17" customFormat="1" ht="12.75" x14ac:dyDescent="0.2">
      <c r="C44" s="18"/>
      <c r="D44" s="20" t="s">
        <v>88</v>
      </c>
      <c r="E44" s="21" t="s">
        <v>89</v>
      </c>
      <c r="F44" s="22" t="s">
        <v>90</v>
      </c>
      <c r="G44" s="23">
        <f t="shared" si="0"/>
        <v>0</v>
      </c>
      <c r="H44" s="27"/>
      <c r="I44" s="27"/>
      <c r="J44" s="27"/>
      <c r="K44" s="27"/>
      <c r="L44" s="19"/>
      <c r="M44" s="24"/>
      <c r="P44" s="25">
        <v>160</v>
      </c>
    </row>
    <row r="45" spans="3:16" s="17" customFormat="1" ht="12.75" x14ac:dyDescent="0.2">
      <c r="C45" s="18"/>
      <c r="D45" s="20" t="s">
        <v>91</v>
      </c>
      <c r="E45" s="21" t="s">
        <v>92</v>
      </c>
      <c r="F45" s="22" t="s">
        <v>93</v>
      </c>
      <c r="G45" s="23">
        <f t="shared" si="0"/>
        <v>0</v>
      </c>
      <c r="H45" s="27"/>
      <c r="I45" s="27"/>
      <c r="J45" s="27"/>
      <c r="K45" s="27"/>
      <c r="L45" s="19"/>
      <c r="M45" s="24"/>
      <c r="P45" s="25">
        <v>180</v>
      </c>
    </row>
    <row r="46" spans="3:16" s="17" customFormat="1" ht="12.75" x14ac:dyDescent="0.2">
      <c r="C46" s="18"/>
      <c r="D46" s="20" t="s">
        <v>94</v>
      </c>
      <c r="E46" s="21" t="s">
        <v>95</v>
      </c>
      <c r="F46" s="22" t="s">
        <v>96</v>
      </c>
      <c r="G46" s="23">
        <f t="shared" si="0"/>
        <v>13.212999999999965</v>
      </c>
      <c r="H46" s="27"/>
      <c r="I46" s="27"/>
      <c r="J46" s="27"/>
      <c r="K46" s="27">
        <f>G25-G36</f>
        <v>13.212999999999965</v>
      </c>
      <c r="L46" s="19"/>
      <c r="M46" s="24"/>
      <c r="P46" s="25">
        <v>190</v>
      </c>
    </row>
    <row r="47" spans="3:16" s="17" customFormat="1" ht="12.75" x14ac:dyDescent="0.2">
      <c r="C47" s="18"/>
      <c r="D47" s="20" t="s">
        <v>97</v>
      </c>
      <c r="E47" s="26" t="s">
        <v>98</v>
      </c>
      <c r="F47" s="22" t="s">
        <v>99</v>
      </c>
      <c r="G47" s="23">
        <f t="shared" si="0"/>
        <v>0</v>
      </c>
      <c r="H47" s="27"/>
      <c r="I47" s="27"/>
      <c r="J47" s="27">
        <v>0</v>
      </c>
      <c r="K47" s="27">
        <v>0</v>
      </c>
      <c r="L47" s="19"/>
      <c r="M47" s="24"/>
      <c r="P47" s="25">
        <v>200</v>
      </c>
    </row>
    <row r="48" spans="3:16" s="17" customFormat="1" ht="12.75" x14ac:dyDescent="0.2">
      <c r="C48" s="18"/>
      <c r="D48" s="20" t="s">
        <v>100</v>
      </c>
      <c r="E48" s="21" t="s">
        <v>101</v>
      </c>
      <c r="F48" s="22" t="s">
        <v>102</v>
      </c>
      <c r="G48" s="23">
        <f t="shared" si="0"/>
        <v>13.212999999999999</v>
      </c>
      <c r="H48" s="27"/>
      <c r="I48" s="27"/>
      <c r="J48" s="27"/>
      <c r="K48" s="27">
        <v>13.212999999999999</v>
      </c>
      <c r="L48" s="19"/>
      <c r="M48" s="24"/>
      <c r="P48" s="36"/>
    </row>
    <row r="49" spans="3:16" s="17" customFormat="1" ht="22.5" x14ac:dyDescent="0.2">
      <c r="C49" s="18"/>
      <c r="D49" s="20" t="s">
        <v>103</v>
      </c>
      <c r="E49" s="46" t="s">
        <v>104</v>
      </c>
      <c r="F49" s="22" t="s">
        <v>105</v>
      </c>
      <c r="G49" s="23">
        <f t="shared" si="0"/>
        <v>-3.3750779948604759E-14</v>
      </c>
      <c r="H49" s="23">
        <f>H46-H48</f>
        <v>0</v>
      </c>
      <c r="I49" s="23">
        <f>I46-I48</f>
        <v>0</v>
      </c>
      <c r="J49" s="23">
        <f>J46-J48</f>
        <v>0</v>
      </c>
      <c r="K49" s="23">
        <f>K46-K48</f>
        <v>-3.3750779948604759E-14</v>
      </c>
      <c r="L49" s="19"/>
      <c r="M49" s="24"/>
      <c r="P49" s="36"/>
    </row>
    <row r="50" spans="3:16" s="17" customFormat="1" ht="12.75" x14ac:dyDescent="0.2">
      <c r="C50" s="18"/>
      <c r="D50" s="20" t="s">
        <v>106</v>
      </c>
      <c r="E50" s="21" t="s">
        <v>107</v>
      </c>
      <c r="F50" s="22" t="s">
        <v>108</v>
      </c>
      <c r="G50" s="23">
        <f t="shared" si="0"/>
        <v>0</v>
      </c>
      <c r="H50" s="23">
        <f>(H15+H27+H32)-(H33+H43+H44+H45+H46)</f>
        <v>0</v>
      </c>
      <c r="I50" s="23">
        <f>(I15+I27+I32)-(I33+I43+I44+I45+I46)</f>
        <v>0</v>
      </c>
      <c r="J50" s="23">
        <f>(J15+J27+J32)-(J33+J43+J44+J45+J46)</f>
        <v>0</v>
      </c>
      <c r="K50" s="23">
        <f>(K15+K27+K32)-(K33+K43+K44+K45+K46)</f>
        <v>0</v>
      </c>
      <c r="L50" s="19"/>
      <c r="M50" s="24"/>
      <c r="P50" s="25">
        <v>210</v>
      </c>
    </row>
    <row r="51" spans="3:16" s="17" customFormat="1" ht="12.75" x14ac:dyDescent="0.2">
      <c r="C51" s="18"/>
      <c r="D51" s="87" t="s">
        <v>109</v>
      </c>
      <c r="E51" s="88"/>
      <c r="F51" s="88"/>
      <c r="G51" s="88"/>
      <c r="H51" s="88"/>
      <c r="I51" s="88"/>
      <c r="J51" s="88"/>
      <c r="K51" s="89"/>
      <c r="L51" s="19"/>
      <c r="M51" s="24"/>
      <c r="P51" s="36"/>
    </row>
    <row r="52" spans="3:16" s="17" customFormat="1" ht="12.75" x14ac:dyDescent="0.2">
      <c r="C52" s="18"/>
      <c r="D52" s="20" t="s">
        <v>110</v>
      </c>
      <c r="E52" s="21" t="s">
        <v>24</v>
      </c>
      <c r="F52" s="22" t="s">
        <v>111</v>
      </c>
      <c r="G52" s="23">
        <f t="shared" si="0"/>
        <v>4.0949</v>
      </c>
      <c r="H52" s="23">
        <f>H53+H54+H57+H60</f>
        <v>0.98277599999999998</v>
      </c>
      <c r="I52" s="23">
        <f>I53+I54+I57+I60</f>
        <v>0</v>
      </c>
      <c r="J52" s="23">
        <f>J53+J54+J57+J60</f>
        <v>3.1121240000000001</v>
      </c>
      <c r="K52" s="23">
        <f>K53+K54+K57+K60</f>
        <v>0</v>
      </c>
      <c r="L52" s="19"/>
      <c r="M52" s="24"/>
      <c r="P52" s="25">
        <v>300</v>
      </c>
    </row>
    <row r="53" spans="3:16" s="17" customFormat="1" ht="12.75" x14ac:dyDescent="0.2">
      <c r="C53" s="18"/>
      <c r="D53" s="20" t="s">
        <v>112</v>
      </c>
      <c r="E53" s="26" t="s">
        <v>26</v>
      </c>
      <c r="F53" s="22" t="s">
        <v>113</v>
      </c>
      <c r="G53" s="23">
        <f t="shared" si="0"/>
        <v>0</v>
      </c>
      <c r="H53" s="27"/>
      <c r="I53" s="27"/>
      <c r="J53" s="27"/>
      <c r="K53" s="27"/>
      <c r="L53" s="19"/>
      <c r="M53" s="24"/>
      <c r="P53" s="25">
        <v>310</v>
      </c>
    </row>
    <row r="54" spans="3:16" s="17" customFormat="1" ht="12.75" x14ac:dyDescent="0.2">
      <c r="C54" s="18"/>
      <c r="D54" s="20" t="s">
        <v>114</v>
      </c>
      <c r="E54" s="26" t="s">
        <v>28</v>
      </c>
      <c r="F54" s="22" t="s">
        <v>115</v>
      </c>
      <c r="G54" s="23">
        <f t="shared" si="0"/>
        <v>0</v>
      </c>
      <c r="H54" s="23">
        <f>SUM(H55:H56)</f>
        <v>0</v>
      </c>
      <c r="I54" s="23">
        <f>SUM(I55:I56)</f>
        <v>0</v>
      </c>
      <c r="J54" s="23">
        <f>SUM(J55:J56)</f>
        <v>0</v>
      </c>
      <c r="K54" s="23">
        <f>SUM(K55:K56)</f>
        <v>0</v>
      </c>
      <c r="L54" s="19"/>
      <c r="M54" s="24"/>
      <c r="P54" s="25">
        <v>320</v>
      </c>
    </row>
    <row r="55" spans="3:16" s="17" customFormat="1" ht="12.75" x14ac:dyDescent="0.2">
      <c r="C55" s="18"/>
      <c r="D55" s="28" t="s">
        <v>116</v>
      </c>
      <c r="E55" s="29"/>
      <c r="F55" s="30" t="s">
        <v>115</v>
      </c>
      <c r="G55" s="31"/>
      <c r="H55" s="31"/>
      <c r="I55" s="31"/>
      <c r="J55" s="31"/>
      <c r="K55" s="31"/>
      <c r="L55" s="19"/>
      <c r="M55" s="24"/>
      <c r="P55" s="25"/>
    </row>
    <row r="56" spans="3:16" s="17" customFormat="1" ht="12.75" x14ac:dyDescent="0.2">
      <c r="C56" s="18"/>
      <c r="D56" s="32"/>
      <c r="E56" s="33" t="s">
        <v>31</v>
      </c>
      <c r="F56" s="34"/>
      <c r="G56" s="34"/>
      <c r="H56" s="34"/>
      <c r="I56" s="34"/>
      <c r="J56" s="34"/>
      <c r="K56" s="35"/>
      <c r="L56" s="19"/>
      <c r="M56" s="24"/>
      <c r="P56" s="25"/>
    </row>
    <row r="57" spans="3:16" s="17" customFormat="1" ht="12.75" x14ac:dyDescent="0.2">
      <c r="C57" s="18"/>
      <c r="D57" s="20" t="s">
        <v>117</v>
      </c>
      <c r="E57" s="26" t="s">
        <v>33</v>
      </c>
      <c r="F57" s="22" t="s">
        <v>118</v>
      </c>
      <c r="G57" s="23">
        <f t="shared" si="0"/>
        <v>0</v>
      </c>
      <c r="H57" s="23">
        <f>SUM(H58:H59)</f>
        <v>0</v>
      </c>
      <c r="I57" s="23">
        <f>SUM(I58:I59)</f>
        <v>0</v>
      </c>
      <c r="J57" s="23">
        <f>SUM(J58:J59)</f>
        <v>0</v>
      </c>
      <c r="K57" s="23">
        <f>SUM(K58:K59)</f>
        <v>0</v>
      </c>
      <c r="L57" s="19"/>
      <c r="M57" s="24"/>
      <c r="P57" s="25"/>
    </row>
    <row r="58" spans="3:16" s="17" customFormat="1" ht="12.75" x14ac:dyDescent="0.2">
      <c r="C58" s="18"/>
      <c r="D58" s="28" t="s">
        <v>119</v>
      </c>
      <c r="E58" s="29"/>
      <c r="F58" s="30" t="s">
        <v>118</v>
      </c>
      <c r="G58" s="31"/>
      <c r="H58" s="31"/>
      <c r="I58" s="31"/>
      <c r="J58" s="31"/>
      <c r="K58" s="31"/>
      <c r="L58" s="19"/>
      <c r="M58" s="24"/>
      <c r="P58" s="25"/>
    </row>
    <row r="59" spans="3:16" s="17" customFormat="1" ht="12.75" x14ac:dyDescent="0.2">
      <c r="C59" s="18"/>
      <c r="D59" s="32"/>
      <c r="E59" s="33" t="s">
        <v>31</v>
      </c>
      <c r="F59" s="34"/>
      <c r="G59" s="34"/>
      <c r="H59" s="34"/>
      <c r="I59" s="34"/>
      <c r="J59" s="34"/>
      <c r="K59" s="35"/>
      <c r="L59" s="19"/>
      <c r="M59" s="24"/>
      <c r="P59" s="25"/>
    </row>
    <row r="60" spans="3:16" s="17" customFormat="1" ht="12.75" x14ac:dyDescent="0.2">
      <c r="C60" s="18"/>
      <c r="D60" s="20" t="s">
        <v>120</v>
      </c>
      <c r="E60" s="26" t="s">
        <v>37</v>
      </c>
      <c r="F60" s="22" t="s">
        <v>121</v>
      </c>
      <c r="G60" s="23">
        <f t="shared" si="0"/>
        <v>4.0949</v>
      </c>
      <c r="H60" s="23">
        <f>SUM(H61:H63)</f>
        <v>0.98277599999999998</v>
      </c>
      <c r="I60" s="23">
        <f>SUM(I61:I63)</f>
        <v>0</v>
      </c>
      <c r="J60" s="23">
        <f>SUM(J61:J63)</f>
        <v>3.1121240000000001</v>
      </c>
      <c r="K60" s="23">
        <f>SUM(K61:K63)</f>
        <v>0</v>
      </c>
      <c r="L60" s="19"/>
      <c r="M60" s="24"/>
      <c r="P60" s="25">
        <v>330</v>
      </c>
    </row>
    <row r="61" spans="3:16" s="17" customFormat="1" ht="12.75" x14ac:dyDescent="0.2">
      <c r="C61" s="18"/>
      <c r="D61" s="28" t="s">
        <v>122</v>
      </c>
      <c r="E61" s="29"/>
      <c r="F61" s="30" t="s">
        <v>121</v>
      </c>
      <c r="G61" s="31"/>
      <c r="H61" s="31"/>
      <c r="I61" s="31"/>
      <c r="J61" s="31"/>
      <c r="K61" s="31"/>
      <c r="L61" s="19"/>
      <c r="M61" s="24"/>
      <c r="P61" s="25"/>
    </row>
    <row r="62" spans="3:16" s="17" customFormat="1" ht="15" x14ac:dyDescent="0.25">
      <c r="C62" s="37" t="s">
        <v>40</v>
      </c>
      <c r="D62" s="38" t="s">
        <v>123</v>
      </c>
      <c r="E62" s="39" t="s">
        <v>42</v>
      </c>
      <c r="F62" s="40">
        <v>1461</v>
      </c>
      <c r="G62" s="41">
        <f>SUM(H62:K62)</f>
        <v>4.0949</v>
      </c>
      <c r="H62" s="52">
        <f>4.0949*0.24</f>
        <v>0.98277599999999998</v>
      </c>
      <c r="I62" s="52">
        <v>0</v>
      </c>
      <c r="J62" s="52">
        <f>4.0949-H62</f>
        <v>3.1121240000000001</v>
      </c>
      <c r="K62" s="53">
        <v>0</v>
      </c>
      <c r="L62" s="19"/>
      <c r="M62" s="43" t="s">
        <v>43</v>
      </c>
      <c r="N62" s="44" t="s">
        <v>44</v>
      </c>
      <c r="O62" s="44" t="s">
        <v>45</v>
      </c>
    </row>
    <row r="63" spans="3:16" s="17" customFormat="1" ht="12.75" x14ac:dyDescent="0.2">
      <c r="C63" s="18"/>
      <c r="D63" s="32"/>
      <c r="E63" s="33" t="s">
        <v>31</v>
      </c>
      <c r="F63" s="34"/>
      <c r="G63" s="34"/>
      <c r="H63" s="34"/>
      <c r="I63" s="34"/>
      <c r="J63" s="34"/>
      <c r="K63" s="35"/>
      <c r="L63" s="19"/>
      <c r="M63" s="24"/>
      <c r="P63" s="25"/>
    </row>
    <row r="64" spans="3:16" s="17" customFormat="1" ht="12.75" x14ac:dyDescent="0.2">
      <c r="C64" s="18"/>
      <c r="D64" s="20" t="s">
        <v>124</v>
      </c>
      <c r="E64" s="21" t="s">
        <v>47</v>
      </c>
      <c r="F64" s="22" t="s">
        <v>125</v>
      </c>
      <c r="G64" s="23">
        <f t="shared" si="0"/>
        <v>4.0439560000000006</v>
      </c>
      <c r="H64" s="23">
        <f>H66+H67+H68</f>
        <v>0</v>
      </c>
      <c r="I64" s="23">
        <f>I65+I67+I68</f>
        <v>0</v>
      </c>
      <c r="J64" s="23">
        <f>J65+J66+J68</f>
        <v>0.98277599999999998</v>
      </c>
      <c r="K64" s="23">
        <f>K65+K66+K67</f>
        <v>3.0611800000000002</v>
      </c>
      <c r="L64" s="19"/>
      <c r="M64" s="24"/>
      <c r="P64" s="25">
        <v>340</v>
      </c>
    </row>
    <row r="65" spans="3:16" s="17" customFormat="1" ht="12.75" x14ac:dyDescent="0.2">
      <c r="C65" s="18"/>
      <c r="D65" s="20" t="s">
        <v>126</v>
      </c>
      <c r="E65" s="26" t="s">
        <v>18</v>
      </c>
      <c r="F65" s="22" t="s">
        <v>127</v>
      </c>
      <c r="G65" s="23">
        <f t="shared" si="0"/>
        <v>0.98277599999999998</v>
      </c>
      <c r="H65" s="45"/>
      <c r="I65" s="27"/>
      <c r="J65" s="27">
        <f>H62</f>
        <v>0.98277599999999998</v>
      </c>
      <c r="K65" s="27"/>
      <c r="L65" s="19"/>
      <c r="M65" s="24"/>
      <c r="P65" s="25">
        <v>350</v>
      </c>
    </row>
    <row r="66" spans="3:16" s="17" customFormat="1" ht="12.75" x14ac:dyDescent="0.2">
      <c r="C66" s="18"/>
      <c r="D66" s="20" t="s">
        <v>128</v>
      </c>
      <c r="E66" s="26" t="s">
        <v>19</v>
      </c>
      <c r="F66" s="22" t="s">
        <v>129</v>
      </c>
      <c r="G66" s="23">
        <f t="shared" si="0"/>
        <v>0</v>
      </c>
      <c r="H66" s="27"/>
      <c r="I66" s="54"/>
      <c r="J66" s="27"/>
      <c r="K66" s="27"/>
      <c r="L66" s="19"/>
      <c r="M66" s="24"/>
      <c r="P66" s="25">
        <v>360</v>
      </c>
    </row>
    <row r="67" spans="3:16" s="17" customFormat="1" ht="12.75" x14ac:dyDescent="0.2">
      <c r="C67" s="18"/>
      <c r="D67" s="20" t="s">
        <v>130</v>
      </c>
      <c r="E67" s="26" t="s">
        <v>20</v>
      </c>
      <c r="F67" s="22" t="s">
        <v>131</v>
      </c>
      <c r="G67" s="23">
        <f t="shared" si="0"/>
        <v>3.0611800000000002</v>
      </c>
      <c r="H67" s="27"/>
      <c r="I67" s="27"/>
      <c r="J67" s="45"/>
      <c r="K67" s="27">
        <f>K73+K83</f>
        <v>3.0611800000000002</v>
      </c>
      <c r="L67" s="19"/>
      <c r="M67" s="24"/>
      <c r="P67" s="25">
        <v>370</v>
      </c>
    </row>
    <row r="68" spans="3:16" s="17" customFormat="1" ht="12.75" x14ac:dyDescent="0.2">
      <c r="C68" s="18"/>
      <c r="D68" s="20" t="s">
        <v>132</v>
      </c>
      <c r="E68" s="26" t="s">
        <v>56</v>
      </c>
      <c r="F68" s="22" t="s">
        <v>133</v>
      </c>
      <c r="G68" s="23">
        <f t="shared" si="0"/>
        <v>0</v>
      </c>
      <c r="H68" s="27"/>
      <c r="I68" s="27"/>
      <c r="J68" s="27"/>
      <c r="K68" s="45"/>
      <c r="L68" s="19"/>
      <c r="M68" s="24"/>
      <c r="P68" s="25">
        <v>380</v>
      </c>
    </row>
    <row r="69" spans="3:16" s="17" customFormat="1" ht="12.75" x14ac:dyDescent="0.2">
      <c r="C69" s="18"/>
      <c r="D69" s="20" t="s">
        <v>134</v>
      </c>
      <c r="E69" s="46" t="s">
        <v>59</v>
      </c>
      <c r="F69" s="22" t="s">
        <v>135</v>
      </c>
      <c r="G69" s="23">
        <f t="shared" si="0"/>
        <v>0</v>
      </c>
      <c r="H69" s="27"/>
      <c r="I69" s="27"/>
      <c r="J69" s="27"/>
      <c r="K69" s="27"/>
      <c r="L69" s="19"/>
      <c r="M69" s="24"/>
      <c r="P69" s="25"/>
    </row>
    <row r="70" spans="3:16" s="17" customFormat="1" ht="12.75" x14ac:dyDescent="0.2">
      <c r="C70" s="18"/>
      <c r="D70" s="20" t="s">
        <v>136</v>
      </c>
      <c r="E70" s="21" t="s">
        <v>62</v>
      </c>
      <c r="F70" s="47" t="s">
        <v>137</v>
      </c>
      <c r="G70" s="23">
        <f t="shared" si="0"/>
        <v>3.7805</v>
      </c>
      <c r="H70" s="23">
        <f>H71+H73+H76+H79</f>
        <v>0</v>
      </c>
      <c r="I70" s="23">
        <f>I71+I73+I76+I79</f>
        <v>0</v>
      </c>
      <c r="J70" s="23">
        <f>J71+J73+J76+J79</f>
        <v>0.9073199999999999</v>
      </c>
      <c r="K70" s="23">
        <f>K71+K73+K76+K79</f>
        <v>2.8731800000000001</v>
      </c>
      <c r="L70" s="19"/>
      <c r="M70" s="24"/>
      <c r="P70" s="25">
        <v>390</v>
      </c>
    </row>
    <row r="71" spans="3:16" s="17" customFormat="1" ht="22.5" x14ac:dyDescent="0.2">
      <c r="C71" s="18"/>
      <c r="D71" s="20" t="s">
        <v>138</v>
      </c>
      <c r="E71" s="26" t="s">
        <v>65</v>
      </c>
      <c r="F71" s="22" t="s">
        <v>139</v>
      </c>
      <c r="G71" s="23">
        <f t="shared" si="0"/>
        <v>0</v>
      </c>
      <c r="H71" s="27"/>
      <c r="I71" s="27"/>
      <c r="J71" s="27"/>
      <c r="K71" s="27"/>
      <c r="L71" s="19"/>
      <c r="M71" s="24"/>
      <c r="P71" s="25"/>
    </row>
    <row r="72" spans="3:16" s="17" customFormat="1" ht="12.75" x14ac:dyDescent="0.2">
      <c r="C72" s="18"/>
      <c r="D72" s="20" t="s">
        <v>140</v>
      </c>
      <c r="E72" s="48" t="s">
        <v>68</v>
      </c>
      <c r="F72" s="22" t="s">
        <v>141</v>
      </c>
      <c r="G72" s="23">
        <f t="shared" si="0"/>
        <v>0</v>
      </c>
      <c r="H72" s="27"/>
      <c r="I72" s="27"/>
      <c r="J72" s="27"/>
      <c r="K72" s="27"/>
      <c r="L72" s="19"/>
      <c r="M72" s="24"/>
      <c r="P72" s="25"/>
    </row>
    <row r="73" spans="3:16" s="17" customFormat="1" ht="12.75" x14ac:dyDescent="0.2">
      <c r="C73" s="18"/>
      <c r="D73" s="20" t="s">
        <v>142</v>
      </c>
      <c r="E73" s="26" t="s">
        <v>71</v>
      </c>
      <c r="F73" s="22" t="s">
        <v>143</v>
      </c>
      <c r="G73" s="23">
        <f t="shared" si="0"/>
        <v>3.7805</v>
      </c>
      <c r="H73" s="27">
        <v>0</v>
      </c>
      <c r="I73" s="27">
        <v>0</v>
      </c>
      <c r="J73" s="27">
        <f>3.7805*0.24</f>
        <v>0.9073199999999999</v>
      </c>
      <c r="K73" s="27">
        <f>3.7805-J73</f>
        <v>2.8731800000000001</v>
      </c>
      <c r="L73" s="19"/>
      <c r="M73" s="24"/>
      <c r="P73" s="25"/>
    </row>
    <row r="74" spans="3:16" s="17" customFormat="1" ht="12.75" x14ac:dyDescent="0.2">
      <c r="C74" s="18"/>
      <c r="D74" s="20" t="s">
        <v>144</v>
      </c>
      <c r="E74" s="48" t="s">
        <v>74</v>
      </c>
      <c r="F74" s="22" t="s">
        <v>145</v>
      </c>
      <c r="G74" s="23">
        <f t="shared" si="0"/>
        <v>0</v>
      </c>
      <c r="H74" s="27"/>
      <c r="I74" s="27"/>
      <c r="J74" s="27"/>
      <c r="K74" s="27"/>
      <c r="L74" s="19"/>
      <c r="M74" s="24"/>
      <c r="P74" s="25"/>
    </row>
    <row r="75" spans="3:16" s="17" customFormat="1" ht="12.75" x14ac:dyDescent="0.2">
      <c r="C75" s="18"/>
      <c r="D75" s="20" t="s">
        <v>146</v>
      </c>
      <c r="E75" s="49" t="s">
        <v>68</v>
      </c>
      <c r="F75" s="22" t="s">
        <v>147</v>
      </c>
      <c r="G75" s="23">
        <f t="shared" si="0"/>
        <v>0</v>
      </c>
      <c r="H75" s="27"/>
      <c r="I75" s="27"/>
      <c r="J75" s="27"/>
      <c r="K75" s="27"/>
      <c r="L75" s="19"/>
      <c r="M75" s="24"/>
      <c r="P75" s="25"/>
    </row>
    <row r="76" spans="3:16" s="17" customFormat="1" ht="12.75" x14ac:dyDescent="0.2">
      <c r="C76" s="18"/>
      <c r="D76" s="20" t="s">
        <v>148</v>
      </c>
      <c r="E76" s="26" t="s">
        <v>79</v>
      </c>
      <c r="F76" s="22" t="s">
        <v>149</v>
      </c>
      <c r="G76" s="23">
        <f t="shared" si="0"/>
        <v>0</v>
      </c>
      <c r="H76" s="23">
        <f>SUM(H77:H78)</f>
        <v>0</v>
      </c>
      <c r="I76" s="23">
        <f>SUM(I77:I78)</f>
        <v>0</v>
      </c>
      <c r="J76" s="23">
        <f>SUM(J77:J78)</f>
        <v>0</v>
      </c>
      <c r="K76" s="23">
        <f>SUM(K77:K78)</f>
        <v>0</v>
      </c>
      <c r="L76" s="19"/>
      <c r="M76" s="24"/>
      <c r="P76" s="25"/>
    </row>
    <row r="77" spans="3:16" s="17" customFormat="1" ht="12.75" x14ac:dyDescent="0.2">
      <c r="C77" s="18"/>
      <c r="D77" s="28" t="s">
        <v>150</v>
      </c>
      <c r="E77" s="29"/>
      <c r="F77" s="30" t="s">
        <v>149</v>
      </c>
      <c r="G77" s="31"/>
      <c r="H77" s="31"/>
      <c r="I77" s="31"/>
      <c r="J77" s="31"/>
      <c r="K77" s="31"/>
      <c r="L77" s="19"/>
      <c r="M77" s="24"/>
      <c r="P77" s="25"/>
    </row>
    <row r="78" spans="3:16" s="17" customFormat="1" ht="12.75" x14ac:dyDescent="0.2">
      <c r="C78" s="18"/>
      <c r="D78" s="32"/>
      <c r="E78" s="33" t="s">
        <v>31</v>
      </c>
      <c r="F78" s="34"/>
      <c r="G78" s="34"/>
      <c r="H78" s="34"/>
      <c r="I78" s="34"/>
      <c r="J78" s="34"/>
      <c r="K78" s="35"/>
      <c r="L78" s="19"/>
      <c r="M78" s="24"/>
      <c r="P78" s="25"/>
    </row>
    <row r="79" spans="3:16" s="17" customFormat="1" ht="12.75" x14ac:dyDescent="0.2">
      <c r="C79" s="18"/>
      <c r="D79" s="20" t="s">
        <v>151</v>
      </c>
      <c r="E79" s="51" t="s">
        <v>83</v>
      </c>
      <c r="F79" s="22" t="s">
        <v>152</v>
      </c>
      <c r="G79" s="23">
        <f t="shared" si="0"/>
        <v>0</v>
      </c>
      <c r="H79" s="27"/>
      <c r="I79" s="27"/>
      <c r="J79" s="27"/>
      <c r="K79" s="27"/>
      <c r="L79" s="19"/>
      <c r="M79" s="24"/>
      <c r="P79" s="25">
        <v>410</v>
      </c>
    </row>
    <row r="80" spans="3:16" s="17" customFormat="1" ht="12.75" x14ac:dyDescent="0.2">
      <c r="C80" s="18"/>
      <c r="D80" s="20" t="s">
        <v>153</v>
      </c>
      <c r="E80" s="21" t="s">
        <v>86</v>
      </c>
      <c r="F80" s="22" t="s">
        <v>154</v>
      </c>
      <c r="G80" s="23">
        <f t="shared" si="0"/>
        <v>4.0439560000000006</v>
      </c>
      <c r="H80" s="27">
        <f>H62</f>
        <v>0.98277599999999998</v>
      </c>
      <c r="I80" s="27"/>
      <c r="J80" s="27">
        <f>K67</f>
        <v>3.0611800000000002</v>
      </c>
      <c r="K80" s="27"/>
      <c r="L80" s="19"/>
      <c r="M80" s="24"/>
      <c r="P80" s="25">
        <v>440</v>
      </c>
    </row>
    <row r="81" spans="3:16" s="17" customFormat="1" ht="12.75" x14ac:dyDescent="0.2">
      <c r="C81" s="18"/>
      <c r="D81" s="20" t="s">
        <v>155</v>
      </c>
      <c r="E81" s="21" t="s">
        <v>89</v>
      </c>
      <c r="F81" s="22" t="s">
        <v>156</v>
      </c>
      <c r="G81" s="23">
        <f t="shared" si="0"/>
        <v>0</v>
      </c>
      <c r="H81" s="27"/>
      <c r="I81" s="27"/>
      <c r="J81" s="27"/>
      <c r="K81" s="27"/>
      <c r="L81" s="19"/>
      <c r="M81" s="24"/>
      <c r="P81" s="25">
        <v>450</v>
      </c>
    </row>
    <row r="82" spans="3:16" s="17" customFormat="1" ht="12.75" x14ac:dyDescent="0.2">
      <c r="C82" s="18"/>
      <c r="D82" s="20" t="s">
        <v>157</v>
      </c>
      <c r="E82" s="21" t="s">
        <v>92</v>
      </c>
      <c r="F82" s="22" t="s">
        <v>158</v>
      </c>
      <c r="G82" s="23">
        <f t="shared" si="0"/>
        <v>0</v>
      </c>
      <c r="H82" s="27"/>
      <c r="I82" s="27"/>
      <c r="J82" s="27"/>
      <c r="K82" s="27"/>
      <c r="L82" s="19"/>
      <c r="M82" s="24"/>
      <c r="P82" s="25">
        <v>470</v>
      </c>
    </row>
    <row r="83" spans="3:16" s="17" customFormat="1" ht="12.75" x14ac:dyDescent="0.2">
      <c r="C83" s="18"/>
      <c r="D83" s="20" t="s">
        <v>159</v>
      </c>
      <c r="E83" s="21" t="s">
        <v>95</v>
      </c>
      <c r="F83" s="22" t="s">
        <v>160</v>
      </c>
      <c r="G83" s="23">
        <f t="shared" si="0"/>
        <v>0.188</v>
      </c>
      <c r="H83" s="27"/>
      <c r="I83" s="27"/>
      <c r="J83" s="27"/>
      <c r="K83" s="27">
        <v>0.188</v>
      </c>
      <c r="L83" s="19"/>
      <c r="M83" s="24"/>
      <c r="P83" s="25">
        <v>480</v>
      </c>
    </row>
    <row r="84" spans="3:16" s="17" customFormat="1" ht="12.75" x14ac:dyDescent="0.2">
      <c r="C84" s="18"/>
      <c r="D84" s="20" t="s">
        <v>161</v>
      </c>
      <c r="E84" s="26" t="s">
        <v>162</v>
      </c>
      <c r="F84" s="22" t="s">
        <v>163</v>
      </c>
      <c r="G84" s="23">
        <f t="shared" si="0"/>
        <v>0</v>
      </c>
      <c r="H84" s="27"/>
      <c r="I84" s="27"/>
      <c r="J84" s="27"/>
      <c r="K84" s="27"/>
      <c r="L84" s="19"/>
      <c r="M84" s="24"/>
      <c r="P84" s="25">
        <v>490</v>
      </c>
    </row>
    <row r="85" spans="3:16" s="17" customFormat="1" ht="12.75" x14ac:dyDescent="0.2">
      <c r="C85" s="18"/>
      <c r="D85" s="20" t="s">
        <v>164</v>
      </c>
      <c r="E85" s="21" t="s">
        <v>101</v>
      </c>
      <c r="F85" s="22" t="s">
        <v>165</v>
      </c>
      <c r="G85" s="23">
        <f t="shared" si="0"/>
        <v>0.13039999999999999</v>
      </c>
      <c r="H85" s="27"/>
      <c r="I85" s="27"/>
      <c r="J85" s="27"/>
      <c r="K85" s="27">
        <v>0.13039999999999999</v>
      </c>
      <c r="L85" s="19"/>
      <c r="M85" s="24"/>
      <c r="P85" s="25"/>
    </row>
    <row r="86" spans="3:16" s="17" customFormat="1" ht="22.5" x14ac:dyDescent="0.2">
      <c r="C86" s="18"/>
      <c r="D86" s="20" t="s">
        <v>166</v>
      </c>
      <c r="E86" s="46" t="s">
        <v>104</v>
      </c>
      <c r="F86" s="22" t="s">
        <v>167</v>
      </c>
      <c r="G86" s="23">
        <f t="shared" si="0"/>
        <v>5.7600000000000012E-2</v>
      </c>
      <c r="H86" s="23">
        <f>H83-H85</f>
        <v>0</v>
      </c>
      <c r="I86" s="23">
        <f>I83-I85</f>
        <v>0</v>
      </c>
      <c r="J86" s="23">
        <f>J83-J85</f>
        <v>0</v>
      </c>
      <c r="K86" s="23">
        <f>K83-K85</f>
        <v>5.7600000000000012E-2</v>
      </c>
      <c r="L86" s="19"/>
      <c r="M86" s="24"/>
      <c r="P86" s="25"/>
    </row>
    <row r="87" spans="3:16" s="17" customFormat="1" ht="12.75" x14ac:dyDescent="0.2">
      <c r="C87" s="18"/>
      <c r="D87" s="20" t="s">
        <v>168</v>
      </c>
      <c r="E87" s="21" t="s">
        <v>107</v>
      </c>
      <c r="F87" s="22" t="s">
        <v>169</v>
      </c>
      <c r="G87" s="23">
        <f t="shared" si="0"/>
        <v>0.12639999999999985</v>
      </c>
      <c r="H87" s="23">
        <f>(H52+H64+H69)-(H70+H80+H81+H82+H83)</f>
        <v>0</v>
      </c>
      <c r="I87" s="23">
        <f>(I52+I64+I69)-(I70+I80+I81+I82+I83)</f>
        <v>0</v>
      </c>
      <c r="J87" s="23">
        <f>(J52+J64+J69)-(J70+J80+J81+J82+J83)</f>
        <v>0.12639999999999985</v>
      </c>
      <c r="K87" s="23">
        <f>(K52+K64+K69)-(K70+K80+K81+K82+K83)</f>
        <v>0</v>
      </c>
      <c r="L87" s="19"/>
      <c r="M87" s="24"/>
      <c r="P87" s="25">
        <v>500</v>
      </c>
    </row>
    <row r="88" spans="3:16" s="17" customFormat="1" ht="12.75" x14ac:dyDescent="0.2">
      <c r="C88" s="18"/>
      <c r="D88" s="87" t="s">
        <v>170</v>
      </c>
      <c r="E88" s="88"/>
      <c r="F88" s="88"/>
      <c r="G88" s="88"/>
      <c r="H88" s="88"/>
      <c r="I88" s="88"/>
      <c r="J88" s="88"/>
      <c r="K88" s="89"/>
      <c r="L88" s="19"/>
      <c r="M88" s="24"/>
      <c r="P88" s="36"/>
    </row>
    <row r="89" spans="3:16" s="17" customFormat="1" ht="12.75" x14ac:dyDescent="0.2">
      <c r="C89" s="18"/>
      <c r="D89" s="20" t="s">
        <v>171</v>
      </c>
      <c r="E89" s="21" t="s">
        <v>172</v>
      </c>
      <c r="F89" s="22" t="s">
        <v>173</v>
      </c>
      <c r="G89" s="23">
        <f t="shared" si="0"/>
        <v>3.7805</v>
      </c>
      <c r="H89" s="27"/>
      <c r="I89" s="27"/>
      <c r="J89" s="42">
        <f>J73</f>
        <v>0.9073199999999999</v>
      </c>
      <c r="K89" s="42">
        <f>K73</f>
        <v>2.8731800000000001</v>
      </c>
      <c r="L89" s="19"/>
      <c r="M89" s="24"/>
      <c r="P89" s="25">
        <v>600</v>
      </c>
    </row>
    <row r="90" spans="3:16" s="17" customFormat="1" ht="12.75" x14ac:dyDescent="0.2">
      <c r="C90" s="18"/>
      <c r="D90" s="20" t="s">
        <v>174</v>
      </c>
      <c r="E90" s="21" t="s">
        <v>175</v>
      </c>
      <c r="F90" s="22" t="s">
        <v>176</v>
      </c>
      <c r="G90" s="23">
        <f t="shared" si="0"/>
        <v>0</v>
      </c>
      <c r="H90" s="27"/>
      <c r="I90" s="27"/>
      <c r="J90" s="27"/>
      <c r="K90" s="27"/>
      <c r="L90" s="19"/>
      <c r="M90" s="24"/>
      <c r="P90" s="25">
        <v>610</v>
      </c>
    </row>
    <row r="91" spans="3:16" s="17" customFormat="1" ht="12.75" x14ac:dyDescent="0.2">
      <c r="C91" s="18"/>
      <c r="D91" s="20" t="s">
        <v>177</v>
      </c>
      <c r="E91" s="21" t="s">
        <v>178</v>
      </c>
      <c r="F91" s="22" t="s">
        <v>179</v>
      </c>
      <c r="G91" s="23">
        <f t="shared" si="0"/>
        <v>0</v>
      </c>
      <c r="H91" s="27"/>
      <c r="I91" s="27"/>
      <c r="J91" s="27"/>
      <c r="K91" s="27"/>
      <c r="L91" s="19"/>
      <c r="M91" s="24"/>
      <c r="P91" s="25">
        <v>620</v>
      </c>
    </row>
    <row r="92" spans="3:16" s="17" customFormat="1" ht="12.75" x14ac:dyDescent="0.2">
      <c r="C92" s="18"/>
      <c r="D92" s="87" t="s">
        <v>180</v>
      </c>
      <c r="E92" s="88"/>
      <c r="F92" s="88"/>
      <c r="G92" s="88"/>
      <c r="H92" s="88"/>
      <c r="I92" s="88"/>
      <c r="J92" s="88"/>
      <c r="K92" s="89"/>
      <c r="L92" s="19"/>
      <c r="M92" s="24"/>
      <c r="P92" s="36"/>
    </row>
    <row r="93" spans="3:16" s="17" customFormat="1" ht="12.75" x14ac:dyDescent="0.2">
      <c r="C93" s="18"/>
      <c r="D93" s="20" t="s">
        <v>181</v>
      </c>
      <c r="E93" s="21" t="s">
        <v>182</v>
      </c>
      <c r="F93" s="22" t="s">
        <v>183</v>
      </c>
      <c r="G93" s="23">
        <f t="shared" si="0"/>
        <v>0</v>
      </c>
      <c r="H93" s="23">
        <f>SUM(H94:H95)</f>
        <v>0</v>
      </c>
      <c r="I93" s="23">
        <f>SUM(I94:I95)</f>
        <v>0</v>
      </c>
      <c r="J93" s="23">
        <f>SUM(J94:J95)</f>
        <v>0</v>
      </c>
      <c r="K93" s="23">
        <f>SUM(K94:K95)</f>
        <v>0</v>
      </c>
      <c r="L93" s="19"/>
      <c r="M93" s="24"/>
      <c r="P93" s="25">
        <v>700</v>
      </c>
    </row>
    <row r="94" spans="3:16" ht="12.75" x14ac:dyDescent="0.2">
      <c r="C94" s="6"/>
      <c r="D94" s="55" t="s">
        <v>184</v>
      </c>
      <c r="E94" s="26" t="s">
        <v>185</v>
      </c>
      <c r="F94" s="22" t="s">
        <v>186</v>
      </c>
      <c r="G94" s="23">
        <f t="shared" si="0"/>
        <v>0</v>
      </c>
      <c r="H94" s="56"/>
      <c r="I94" s="56"/>
      <c r="J94" s="56"/>
      <c r="K94" s="56"/>
      <c r="L94" s="13"/>
      <c r="M94" s="24"/>
      <c r="P94" s="25">
        <v>710</v>
      </c>
    </row>
    <row r="95" spans="3:16" ht="12.75" x14ac:dyDescent="0.2">
      <c r="C95" s="6"/>
      <c r="D95" s="55" t="s">
        <v>187</v>
      </c>
      <c r="E95" s="26" t="s">
        <v>188</v>
      </c>
      <c r="F95" s="22" t="s">
        <v>189</v>
      </c>
      <c r="G95" s="23">
        <f t="shared" si="0"/>
        <v>0</v>
      </c>
      <c r="H95" s="57">
        <f>H98</f>
        <v>0</v>
      </c>
      <c r="I95" s="57">
        <f>I98</f>
        <v>0</v>
      </c>
      <c r="J95" s="57">
        <f>J98</f>
        <v>0</v>
      </c>
      <c r="K95" s="57">
        <f>K98</f>
        <v>0</v>
      </c>
      <c r="L95" s="13"/>
      <c r="M95" s="24"/>
      <c r="P95" s="25">
        <v>720</v>
      </c>
    </row>
    <row r="96" spans="3:16" ht="12.75" x14ac:dyDescent="0.2">
      <c r="C96" s="6"/>
      <c r="D96" s="55" t="s">
        <v>190</v>
      </c>
      <c r="E96" s="48" t="s">
        <v>191</v>
      </c>
      <c r="F96" s="22" t="s">
        <v>192</v>
      </c>
      <c r="G96" s="23">
        <f t="shared" si="0"/>
        <v>0</v>
      </c>
      <c r="H96" s="56"/>
      <c r="I96" s="56"/>
      <c r="J96" s="56"/>
      <c r="K96" s="56"/>
      <c r="L96" s="13"/>
      <c r="M96" s="24"/>
      <c r="P96" s="25">
        <v>730</v>
      </c>
    </row>
    <row r="97" spans="3:16" ht="12.75" x14ac:dyDescent="0.2">
      <c r="C97" s="6"/>
      <c r="D97" s="55" t="s">
        <v>193</v>
      </c>
      <c r="E97" s="49" t="s">
        <v>194</v>
      </c>
      <c r="F97" s="22" t="s">
        <v>195</v>
      </c>
      <c r="G97" s="23">
        <f t="shared" si="0"/>
        <v>0</v>
      </c>
      <c r="H97" s="56"/>
      <c r="I97" s="56"/>
      <c r="J97" s="56"/>
      <c r="K97" s="56"/>
      <c r="L97" s="13"/>
      <c r="M97" s="24"/>
      <c r="P97" s="25"/>
    </row>
    <row r="98" spans="3:16" ht="12.75" x14ac:dyDescent="0.2">
      <c r="C98" s="6"/>
      <c r="D98" s="55" t="s">
        <v>196</v>
      </c>
      <c r="E98" s="48" t="s">
        <v>197</v>
      </c>
      <c r="F98" s="22" t="s">
        <v>198</v>
      </c>
      <c r="G98" s="23">
        <f t="shared" si="0"/>
        <v>0</v>
      </c>
      <c r="H98" s="56"/>
      <c r="I98" s="56"/>
      <c r="J98" s="56"/>
      <c r="K98" s="56"/>
      <c r="L98" s="13"/>
      <c r="M98" s="24"/>
      <c r="P98" s="25">
        <v>740</v>
      </c>
    </row>
    <row r="99" spans="3:16" ht="12.75" x14ac:dyDescent="0.2">
      <c r="C99" s="6"/>
      <c r="D99" s="55" t="s">
        <v>199</v>
      </c>
      <c r="E99" s="21" t="s">
        <v>200</v>
      </c>
      <c r="F99" s="22" t="s">
        <v>201</v>
      </c>
      <c r="G99" s="23">
        <f t="shared" si="0"/>
        <v>0</v>
      </c>
      <c r="H99" s="57">
        <f>H100+H116</f>
        <v>0</v>
      </c>
      <c r="I99" s="57">
        <f>I100+I116</f>
        <v>0</v>
      </c>
      <c r="J99" s="57">
        <f>J100+J116</f>
        <v>0</v>
      </c>
      <c r="K99" s="57">
        <f>K100+K116</f>
        <v>0</v>
      </c>
      <c r="L99" s="13"/>
      <c r="M99" s="24"/>
      <c r="P99" s="25">
        <v>750</v>
      </c>
    </row>
    <row r="100" spans="3:16" ht="12.75" x14ac:dyDescent="0.2">
      <c r="C100" s="6"/>
      <c r="D100" s="55" t="s">
        <v>202</v>
      </c>
      <c r="E100" s="26" t="s">
        <v>203</v>
      </c>
      <c r="F100" s="22" t="s">
        <v>204</v>
      </c>
      <c r="G100" s="23">
        <f t="shared" si="0"/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57">
        <f>K101+K102</f>
        <v>0</v>
      </c>
      <c r="L100" s="13"/>
      <c r="M100" s="24"/>
      <c r="P100" s="25">
        <v>760</v>
      </c>
    </row>
    <row r="101" spans="3:16" ht="12.75" x14ac:dyDescent="0.2">
      <c r="C101" s="6"/>
      <c r="D101" s="55" t="s">
        <v>205</v>
      </c>
      <c r="E101" s="48" t="s">
        <v>206</v>
      </c>
      <c r="F101" s="22" t="s">
        <v>207</v>
      </c>
      <c r="G101" s="23">
        <f t="shared" si="0"/>
        <v>0</v>
      </c>
      <c r="H101" s="56"/>
      <c r="I101" s="56"/>
      <c r="J101" s="56"/>
      <c r="K101" s="56"/>
      <c r="L101" s="13"/>
      <c r="M101" s="24"/>
      <c r="P101" s="25"/>
    </row>
    <row r="102" spans="3:16" ht="12.75" x14ac:dyDescent="0.2">
      <c r="C102" s="6"/>
      <c r="D102" s="55" t="s">
        <v>208</v>
      </c>
      <c r="E102" s="48" t="s">
        <v>209</v>
      </c>
      <c r="F102" s="22" t="s">
        <v>210</v>
      </c>
      <c r="G102" s="23">
        <f t="shared" si="0"/>
        <v>0</v>
      </c>
      <c r="H102" s="57">
        <f>H103+H106+H109+H112+H113+H114+H115</f>
        <v>0</v>
      </c>
      <c r="I102" s="57">
        <f>I103+I106+I109+I112+I113+I114+I115</f>
        <v>0</v>
      </c>
      <c r="J102" s="57">
        <f>J103+J106+J109+J112+J113+J114+J115</f>
        <v>0</v>
      </c>
      <c r="K102" s="57">
        <f>K103+K106+K109+K112+K113+K114+K115</f>
        <v>0</v>
      </c>
      <c r="L102" s="13"/>
      <c r="M102" s="24"/>
      <c r="P102" s="25"/>
    </row>
    <row r="103" spans="3:16" ht="33.75" x14ac:dyDescent="0.2">
      <c r="C103" s="6"/>
      <c r="D103" s="55" t="s">
        <v>211</v>
      </c>
      <c r="E103" s="49" t="s">
        <v>212</v>
      </c>
      <c r="F103" s="22" t="s">
        <v>213</v>
      </c>
      <c r="G103" s="23">
        <f t="shared" si="0"/>
        <v>0</v>
      </c>
      <c r="H103" s="58">
        <f>H104+H105</f>
        <v>0</v>
      </c>
      <c r="I103" s="58">
        <f>I104+I105</f>
        <v>0</v>
      </c>
      <c r="J103" s="58">
        <f>J104+J105</f>
        <v>0</v>
      </c>
      <c r="K103" s="58">
        <f>K104+K105</f>
        <v>0</v>
      </c>
      <c r="L103" s="13"/>
      <c r="M103" s="24"/>
      <c r="P103" s="25"/>
    </row>
    <row r="104" spans="3:16" ht="12.75" x14ac:dyDescent="0.2">
      <c r="C104" s="6"/>
      <c r="D104" s="55" t="s">
        <v>214</v>
      </c>
      <c r="E104" s="59" t="s">
        <v>215</v>
      </c>
      <c r="F104" s="22" t="s">
        <v>216</v>
      </c>
      <c r="G104" s="23">
        <f t="shared" si="0"/>
        <v>0</v>
      </c>
      <c r="H104" s="56"/>
      <c r="I104" s="56"/>
      <c r="J104" s="56"/>
      <c r="K104" s="56"/>
      <c r="L104" s="13"/>
      <c r="M104" s="24"/>
      <c r="P104" s="25"/>
    </row>
    <row r="105" spans="3:16" ht="12.75" x14ac:dyDescent="0.2">
      <c r="C105" s="6"/>
      <c r="D105" s="55" t="s">
        <v>217</v>
      </c>
      <c r="E105" s="59" t="s">
        <v>218</v>
      </c>
      <c r="F105" s="22" t="s">
        <v>219</v>
      </c>
      <c r="G105" s="23">
        <f t="shared" si="0"/>
        <v>0</v>
      </c>
      <c r="H105" s="56"/>
      <c r="I105" s="56"/>
      <c r="J105" s="56"/>
      <c r="K105" s="56"/>
      <c r="L105" s="13"/>
      <c r="M105" s="24"/>
      <c r="P105" s="25"/>
    </row>
    <row r="106" spans="3:16" ht="33.75" x14ac:dyDescent="0.2">
      <c r="C106" s="6"/>
      <c r="D106" s="55" t="s">
        <v>220</v>
      </c>
      <c r="E106" s="49" t="s">
        <v>221</v>
      </c>
      <c r="F106" s="22" t="s">
        <v>222</v>
      </c>
      <c r="G106" s="23">
        <f t="shared" si="0"/>
        <v>0</v>
      </c>
      <c r="H106" s="58">
        <f>H107+H108</f>
        <v>0</v>
      </c>
      <c r="I106" s="58">
        <f>I107+I108</f>
        <v>0</v>
      </c>
      <c r="J106" s="58">
        <f>J107+J108</f>
        <v>0</v>
      </c>
      <c r="K106" s="58">
        <f>K107+K108</f>
        <v>0</v>
      </c>
      <c r="L106" s="13"/>
      <c r="M106" s="24"/>
      <c r="P106" s="25"/>
    </row>
    <row r="107" spans="3:16" ht="12.75" x14ac:dyDescent="0.2">
      <c r="C107" s="6"/>
      <c r="D107" s="55" t="s">
        <v>223</v>
      </c>
      <c r="E107" s="59" t="s">
        <v>215</v>
      </c>
      <c r="F107" s="22" t="s">
        <v>224</v>
      </c>
      <c r="G107" s="23">
        <f t="shared" si="0"/>
        <v>0</v>
      </c>
      <c r="H107" s="56"/>
      <c r="I107" s="56"/>
      <c r="J107" s="56"/>
      <c r="K107" s="56"/>
      <c r="L107" s="13"/>
      <c r="M107" s="24"/>
      <c r="P107" s="25"/>
    </row>
    <row r="108" spans="3:16" ht="12.75" x14ac:dyDescent="0.2">
      <c r="C108" s="6"/>
      <c r="D108" s="55" t="s">
        <v>225</v>
      </c>
      <c r="E108" s="59" t="s">
        <v>218</v>
      </c>
      <c r="F108" s="22" t="s">
        <v>226</v>
      </c>
      <c r="G108" s="23">
        <f t="shared" si="0"/>
        <v>0</v>
      </c>
      <c r="H108" s="56"/>
      <c r="I108" s="56"/>
      <c r="J108" s="56"/>
      <c r="K108" s="56"/>
      <c r="L108" s="13"/>
      <c r="M108" s="24"/>
      <c r="P108" s="25"/>
    </row>
    <row r="109" spans="3:16" ht="22.5" x14ac:dyDescent="0.2">
      <c r="C109" s="6"/>
      <c r="D109" s="55" t="s">
        <v>227</v>
      </c>
      <c r="E109" s="49" t="s">
        <v>228</v>
      </c>
      <c r="F109" s="22" t="s">
        <v>229</v>
      </c>
      <c r="G109" s="23">
        <f t="shared" si="0"/>
        <v>0</v>
      </c>
      <c r="H109" s="58">
        <f>H110+H111</f>
        <v>0</v>
      </c>
      <c r="I109" s="58">
        <f>I110+I111</f>
        <v>0</v>
      </c>
      <c r="J109" s="58">
        <f>J110+J111</f>
        <v>0</v>
      </c>
      <c r="K109" s="58">
        <f>K110+K111</f>
        <v>0</v>
      </c>
      <c r="L109" s="13"/>
      <c r="M109" s="24"/>
      <c r="P109" s="25"/>
    </row>
    <row r="110" spans="3:16" ht="12.75" x14ac:dyDescent="0.2">
      <c r="C110" s="6"/>
      <c r="D110" s="55" t="s">
        <v>230</v>
      </c>
      <c r="E110" s="59" t="s">
        <v>215</v>
      </c>
      <c r="F110" s="22" t="s">
        <v>231</v>
      </c>
      <c r="G110" s="23">
        <f t="shared" si="0"/>
        <v>0</v>
      </c>
      <c r="H110" s="56"/>
      <c r="I110" s="56"/>
      <c r="J110" s="56"/>
      <c r="K110" s="56"/>
      <c r="L110" s="13"/>
      <c r="M110" s="24"/>
      <c r="P110" s="25"/>
    </row>
    <row r="111" spans="3:16" ht="12.75" x14ac:dyDescent="0.2">
      <c r="C111" s="6"/>
      <c r="D111" s="55" t="s">
        <v>232</v>
      </c>
      <c r="E111" s="59" t="s">
        <v>218</v>
      </c>
      <c r="F111" s="22" t="s">
        <v>233</v>
      </c>
      <c r="G111" s="23">
        <f t="shared" si="0"/>
        <v>0</v>
      </c>
      <c r="H111" s="56"/>
      <c r="I111" s="56"/>
      <c r="J111" s="56"/>
      <c r="K111" s="56"/>
      <c r="L111" s="13"/>
      <c r="M111" s="24"/>
      <c r="P111" s="25"/>
    </row>
    <row r="112" spans="3:16" ht="12.75" x14ac:dyDescent="0.2">
      <c r="C112" s="6"/>
      <c r="D112" s="55" t="s">
        <v>234</v>
      </c>
      <c r="E112" s="49" t="s">
        <v>235</v>
      </c>
      <c r="F112" s="22" t="s">
        <v>236</v>
      </c>
      <c r="G112" s="23">
        <f t="shared" si="0"/>
        <v>0</v>
      </c>
      <c r="H112" s="56"/>
      <c r="I112" s="56"/>
      <c r="J112" s="56"/>
      <c r="K112" s="56"/>
      <c r="L112" s="13"/>
      <c r="M112" s="24"/>
      <c r="P112" s="25"/>
    </row>
    <row r="113" spans="3:16" ht="12.75" x14ac:dyDescent="0.2">
      <c r="C113" s="6"/>
      <c r="D113" s="55" t="s">
        <v>237</v>
      </c>
      <c r="E113" s="49" t="s">
        <v>238</v>
      </c>
      <c r="F113" s="22" t="s">
        <v>239</v>
      </c>
      <c r="G113" s="23">
        <f t="shared" si="0"/>
        <v>0</v>
      </c>
      <c r="H113" s="56"/>
      <c r="I113" s="56"/>
      <c r="J113" s="56"/>
      <c r="K113" s="56"/>
      <c r="L113" s="13"/>
      <c r="M113" s="24"/>
      <c r="P113" s="25"/>
    </row>
    <row r="114" spans="3:16" ht="33.75" x14ac:dyDescent="0.2">
      <c r="C114" s="6"/>
      <c r="D114" s="55" t="s">
        <v>240</v>
      </c>
      <c r="E114" s="49" t="s">
        <v>241</v>
      </c>
      <c r="F114" s="22" t="s">
        <v>242</v>
      </c>
      <c r="G114" s="23">
        <f t="shared" si="0"/>
        <v>0</v>
      </c>
      <c r="H114" s="56"/>
      <c r="I114" s="56"/>
      <c r="J114" s="56"/>
      <c r="K114" s="56"/>
      <c r="L114" s="13"/>
      <c r="M114" s="24"/>
      <c r="P114" s="25"/>
    </row>
    <row r="115" spans="3:16" ht="22.5" x14ac:dyDescent="0.2">
      <c r="C115" s="6"/>
      <c r="D115" s="55" t="s">
        <v>243</v>
      </c>
      <c r="E115" s="49" t="s">
        <v>244</v>
      </c>
      <c r="F115" s="22" t="s">
        <v>245</v>
      </c>
      <c r="G115" s="23">
        <f t="shared" si="0"/>
        <v>0</v>
      </c>
      <c r="H115" s="56"/>
      <c r="I115" s="56"/>
      <c r="J115" s="56"/>
      <c r="K115" s="56"/>
      <c r="L115" s="13"/>
      <c r="M115" s="24"/>
      <c r="P115" s="25"/>
    </row>
    <row r="116" spans="3:16" ht="12.75" x14ac:dyDescent="0.2">
      <c r="C116" s="6"/>
      <c r="D116" s="55" t="s">
        <v>246</v>
      </c>
      <c r="E116" s="26" t="s">
        <v>247</v>
      </c>
      <c r="F116" s="22" t="s">
        <v>248</v>
      </c>
      <c r="G116" s="23">
        <f t="shared" si="0"/>
        <v>0</v>
      </c>
      <c r="H116" s="57">
        <f>H119</f>
        <v>0</v>
      </c>
      <c r="I116" s="57">
        <f>I119</f>
        <v>0</v>
      </c>
      <c r="J116" s="57">
        <f>J119</f>
        <v>0</v>
      </c>
      <c r="K116" s="57">
        <f>K119</f>
        <v>0</v>
      </c>
      <c r="L116" s="13"/>
      <c r="M116" s="24"/>
      <c r="P116" s="25">
        <v>770</v>
      </c>
    </row>
    <row r="117" spans="3:16" ht="12.75" x14ac:dyDescent="0.2">
      <c r="C117" s="6"/>
      <c r="D117" s="55" t="s">
        <v>249</v>
      </c>
      <c r="E117" s="48" t="s">
        <v>191</v>
      </c>
      <c r="F117" s="22" t="s">
        <v>250</v>
      </c>
      <c r="G117" s="23">
        <f t="shared" si="0"/>
        <v>0</v>
      </c>
      <c r="H117" s="56"/>
      <c r="I117" s="56"/>
      <c r="J117" s="56"/>
      <c r="K117" s="56"/>
      <c r="L117" s="13"/>
      <c r="M117" s="24"/>
      <c r="P117" s="25">
        <v>780</v>
      </c>
    </row>
    <row r="118" spans="3:16" ht="12.75" x14ac:dyDescent="0.2">
      <c r="C118" s="6"/>
      <c r="D118" s="55" t="s">
        <v>251</v>
      </c>
      <c r="E118" s="49" t="s">
        <v>252</v>
      </c>
      <c r="F118" s="22" t="s">
        <v>253</v>
      </c>
      <c r="G118" s="23">
        <f t="shared" si="0"/>
        <v>0</v>
      </c>
      <c r="H118" s="56"/>
      <c r="I118" s="56"/>
      <c r="J118" s="56"/>
      <c r="K118" s="56"/>
      <c r="L118" s="13"/>
      <c r="M118" s="24"/>
      <c r="P118" s="25"/>
    </row>
    <row r="119" spans="3:16" ht="12.75" x14ac:dyDescent="0.2">
      <c r="C119" s="6"/>
      <c r="D119" s="55" t="s">
        <v>254</v>
      </c>
      <c r="E119" s="48" t="s">
        <v>197</v>
      </c>
      <c r="F119" s="22" t="s">
        <v>255</v>
      </c>
      <c r="G119" s="23">
        <f t="shared" si="0"/>
        <v>0</v>
      </c>
      <c r="H119" s="56"/>
      <c r="I119" s="56"/>
      <c r="J119" s="56"/>
      <c r="K119" s="56"/>
      <c r="L119" s="13"/>
      <c r="M119" s="24"/>
      <c r="P119" s="25">
        <v>790</v>
      </c>
    </row>
    <row r="120" spans="3:16" ht="12.75" x14ac:dyDescent="0.2">
      <c r="C120" s="6"/>
      <c r="D120" s="55" t="s">
        <v>256</v>
      </c>
      <c r="E120" s="46" t="s">
        <v>257</v>
      </c>
      <c r="F120" s="22" t="s">
        <v>258</v>
      </c>
      <c r="G120" s="23">
        <f t="shared" si="0"/>
        <v>1878.5650000000001</v>
      </c>
      <c r="H120" s="57">
        <f>SUM(H121:H122)</f>
        <v>0</v>
      </c>
      <c r="I120" s="57">
        <f>SUM(I121:I122)</f>
        <v>0</v>
      </c>
      <c r="J120" s="57">
        <f>SUM(J121:J122)</f>
        <v>242.88300000000001</v>
      </c>
      <c r="K120" s="57">
        <f>SUM(K121:K122)</f>
        <v>1635.682</v>
      </c>
      <c r="L120" s="13"/>
      <c r="M120" s="24"/>
      <c r="P120" s="25"/>
    </row>
    <row r="121" spans="3:16" ht="12.75" x14ac:dyDescent="0.2">
      <c r="C121" s="6"/>
      <c r="D121" s="55" t="s">
        <v>259</v>
      </c>
      <c r="E121" s="26" t="s">
        <v>185</v>
      </c>
      <c r="F121" s="22" t="s">
        <v>260</v>
      </c>
      <c r="G121" s="23">
        <f t="shared" si="0"/>
        <v>1878.5650000000001</v>
      </c>
      <c r="H121" s="56"/>
      <c r="I121" s="56"/>
      <c r="J121" s="56">
        <f>J36</f>
        <v>242.88300000000001</v>
      </c>
      <c r="K121" s="56">
        <f>K36</f>
        <v>1635.682</v>
      </c>
      <c r="L121" s="13"/>
      <c r="M121" s="24"/>
      <c r="P121" s="25"/>
    </row>
    <row r="122" spans="3:16" ht="12.75" x14ac:dyDescent="0.2">
      <c r="C122" s="6"/>
      <c r="D122" s="55" t="s">
        <v>261</v>
      </c>
      <c r="E122" s="26" t="s">
        <v>188</v>
      </c>
      <c r="F122" s="22" t="s">
        <v>262</v>
      </c>
      <c r="G122" s="23">
        <f t="shared" si="0"/>
        <v>0</v>
      </c>
      <c r="H122" s="57">
        <f>H124</f>
        <v>0</v>
      </c>
      <c r="I122" s="57">
        <f>I124</f>
        <v>0</v>
      </c>
      <c r="J122" s="57">
        <f>J124</f>
        <v>0</v>
      </c>
      <c r="K122" s="57">
        <f>K124</f>
        <v>0</v>
      </c>
      <c r="L122" s="13"/>
      <c r="M122" s="24"/>
      <c r="P122" s="25"/>
    </row>
    <row r="123" spans="3:16" ht="12.75" x14ac:dyDescent="0.2">
      <c r="C123" s="6"/>
      <c r="D123" s="55" t="s">
        <v>263</v>
      </c>
      <c r="E123" s="48" t="s">
        <v>264</v>
      </c>
      <c r="F123" s="22" t="s">
        <v>265</v>
      </c>
      <c r="G123" s="23">
        <f t="shared" si="0"/>
        <v>0</v>
      </c>
      <c r="H123" s="56"/>
      <c r="I123" s="56"/>
      <c r="J123" s="56"/>
      <c r="K123" s="56"/>
      <c r="L123" s="13"/>
      <c r="M123" s="24"/>
      <c r="P123" s="25"/>
    </row>
    <row r="124" spans="3:16" ht="12.75" x14ac:dyDescent="0.2">
      <c r="C124" s="6"/>
      <c r="D124" s="55" t="s">
        <v>266</v>
      </c>
      <c r="E124" s="48" t="s">
        <v>197</v>
      </c>
      <c r="F124" s="22" t="s">
        <v>267</v>
      </c>
      <c r="G124" s="23">
        <f t="shared" si="0"/>
        <v>0</v>
      </c>
      <c r="H124" s="56"/>
      <c r="I124" s="56"/>
      <c r="J124" s="56"/>
      <c r="K124" s="56"/>
      <c r="L124" s="13"/>
      <c r="M124" s="24"/>
      <c r="P124" s="25"/>
    </row>
    <row r="125" spans="3:16" ht="12.75" x14ac:dyDescent="0.2">
      <c r="C125" s="6"/>
      <c r="D125" s="87" t="s">
        <v>268</v>
      </c>
      <c r="E125" s="88"/>
      <c r="F125" s="88"/>
      <c r="G125" s="88"/>
      <c r="H125" s="88"/>
      <c r="I125" s="88"/>
      <c r="J125" s="88"/>
      <c r="K125" s="89"/>
      <c r="L125" s="13"/>
      <c r="M125" s="24"/>
      <c r="P125" s="60"/>
    </row>
    <row r="126" spans="3:16" ht="22.5" x14ac:dyDescent="0.2">
      <c r="C126" s="6"/>
      <c r="D126" s="55" t="s">
        <v>269</v>
      </c>
      <c r="E126" s="21" t="s">
        <v>270</v>
      </c>
      <c r="F126" s="22" t="s">
        <v>271</v>
      </c>
      <c r="G126" s="23">
        <f t="shared" si="0"/>
        <v>0</v>
      </c>
      <c r="H126" s="57">
        <f>SUM( H127:H128)</f>
        <v>0</v>
      </c>
      <c r="I126" s="57">
        <f>SUM( I127:I128)</f>
        <v>0</v>
      </c>
      <c r="J126" s="57">
        <f>SUM( J127:J128)</f>
        <v>0</v>
      </c>
      <c r="K126" s="57">
        <f>SUM( K127:K128)</f>
        <v>0</v>
      </c>
      <c r="L126" s="13"/>
      <c r="M126" s="24"/>
      <c r="P126" s="25">
        <v>800</v>
      </c>
    </row>
    <row r="127" spans="3:16" ht="12.75" x14ac:dyDescent="0.2">
      <c r="C127" s="6"/>
      <c r="D127" s="55" t="s">
        <v>272</v>
      </c>
      <c r="E127" s="26" t="s">
        <v>185</v>
      </c>
      <c r="F127" s="22" t="s">
        <v>273</v>
      </c>
      <c r="G127" s="23">
        <f t="shared" si="0"/>
        <v>0</v>
      </c>
      <c r="H127" s="56"/>
      <c r="I127" s="56"/>
      <c r="J127" s="56"/>
      <c r="K127" s="56"/>
      <c r="L127" s="13"/>
      <c r="M127" s="24"/>
      <c r="P127" s="25">
        <v>810</v>
      </c>
    </row>
    <row r="128" spans="3:16" ht="12.75" x14ac:dyDescent="0.2">
      <c r="C128" s="6"/>
      <c r="D128" s="55" t="s">
        <v>274</v>
      </c>
      <c r="E128" s="26" t="s">
        <v>188</v>
      </c>
      <c r="F128" s="22" t="s">
        <v>275</v>
      </c>
      <c r="G128" s="23">
        <f t="shared" si="0"/>
        <v>0</v>
      </c>
      <c r="H128" s="57">
        <f>H129+H131</f>
        <v>0</v>
      </c>
      <c r="I128" s="57">
        <f>I129+I131</f>
        <v>0</v>
      </c>
      <c r="J128" s="57">
        <f>J129+J131</f>
        <v>0</v>
      </c>
      <c r="K128" s="57">
        <f>K129+K131</f>
        <v>0</v>
      </c>
      <c r="L128" s="13"/>
      <c r="M128" s="24"/>
      <c r="P128" s="25">
        <v>820</v>
      </c>
    </row>
    <row r="129" spans="3:16" ht="12.75" x14ac:dyDescent="0.2">
      <c r="C129" s="6"/>
      <c r="D129" s="55" t="s">
        <v>276</v>
      </c>
      <c r="E129" s="48" t="s">
        <v>277</v>
      </c>
      <c r="F129" s="22" t="s">
        <v>278</v>
      </c>
      <c r="G129" s="23">
        <f t="shared" si="0"/>
        <v>0</v>
      </c>
      <c r="H129" s="56"/>
      <c r="I129" s="56"/>
      <c r="J129" s="56"/>
      <c r="K129" s="56"/>
      <c r="L129" s="13"/>
      <c r="M129" s="24"/>
      <c r="P129" s="25">
        <v>830</v>
      </c>
    </row>
    <row r="130" spans="3:16" ht="12.75" x14ac:dyDescent="0.2">
      <c r="C130" s="6"/>
      <c r="D130" s="55" t="s">
        <v>279</v>
      </c>
      <c r="E130" s="49" t="s">
        <v>280</v>
      </c>
      <c r="F130" s="22" t="s">
        <v>281</v>
      </c>
      <c r="G130" s="23">
        <f t="shared" si="0"/>
        <v>0</v>
      </c>
      <c r="H130" s="56"/>
      <c r="I130" s="56"/>
      <c r="J130" s="56"/>
      <c r="K130" s="56"/>
      <c r="L130" s="13"/>
      <c r="M130" s="24"/>
      <c r="P130" s="60"/>
    </row>
    <row r="131" spans="3:16" ht="12.75" x14ac:dyDescent="0.2">
      <c r="C131" s="6"/>
      <c r="D131" s="55" t="s">
        <v>282</v>
      </c>
      <c r="E131" s="48" t="s">
        <v>283</v>
      </c>
      <c r="F131" s="22" t="s">
        <v>284</v>
      </c>
      <c r="G131" s="23">
        <f t="shared" si="0"/>
        <v>0</v>
      </c>
      <c r="H131" s="56"/>
      <c r="I131" s="56"/>
      <c r="J131" s="56"/>
      <c r="K131" s="56"/>
      <c r="L131" s="13"/>
      <c r="M131" s="24"/>
      <c r="P131" s="25">
        <v>840</v>
      </c>
    </row>
    <row r="132" spans="3:16" ht="12.75" x14ac:dyDescent="0.2">
      <c r="C132" s="6"/>
      <c r="D132" s="55" t="s">
        <v>30</v>
      </c>
      <c r="E132" s="21" t="s">
        <v>285</v>
      </c>
      <c r="F132" s="22" t="s">
        <v>286</v>
      </c>
      <c r="G132" s="23">
        <f t="shared" si="0"/>
        <v>0</v>
      </c>
      <c r="H132" s="58">
        <f>SUM( H133+H138)</f>
        <v>0</v>
      </c>
      <c r="I132" s="58">
        <f>SUM( I133+I138)</f>
        <v>0</v>
      </c>
      <c r="J132" s="58">
        <f>SUM( J133+J138)</f>
        <v>0</v>
      </c>
      <c r="K132" s="58">
        <f>SUM( K133+K138)</f>
        <v>0</v>
      </c>
      <c r="L132" s="61"/>
      <c r="M132" s="24"/>
      <c r="P132" s="25">
        <v>850</v>
      </c>
    </row>
    <row r="133" spans="3:16" ht="12.75" x14ac:dyDescent="0.2">
      <c r="C133" s="6"/>
      <c r="D133" s="55" t="s">
        <v>287</v>
      </c>
      <c r="E133" s="26" t="s">
        <v>185</v>
      </c>
      <c r="F133" s="22" t="s">
        <v>288</v>
      </c>
      <c r="G133" s="23">
        <f t="shared" ref="G133:G146" si="1">SUM(H133:K133)</f>
        <v>0</v>
      </c>
      <c r="H133" s="58">
        <f>SUM( H134:H135)</f>
        <v>0</v>
      </c>
      <c r="I133" s="58">
        <f>SUM( I134:I135)</f>
        <v>0</v>
      </c>
      <c r="J133" s="58">
        <f>SUM( J134:J135)</f>
        <v>0</v>
      </c>
      <c r="K133" s="58">
        <f>SUM( K134:K135)</f>
        <v>0</v>
      </c>
      <c r="L133" s="61"/>
      <c r="M133" s="24"/>
      <c r="P133" s="25">
        <v>860</v>
      </c>
    </row>
    <row r="134" spans="3:16" ht="12.75" x14ac:dyDescent="0.2">
      <c r="C134" s="6"/>
      <c r="D134" s="55" t="s">
        <v>289</v>
      </c>
      <c r="E134" s="48" t="s">
        <v>206</v>
      </c>
      <c r="F134" s="22" t="s">
        <v>290</v>
      </c>
      <c r="G134" s="23">
        <f t="shared" si="1"/>
        <v>0</v>
      </c>
      <c r="H134" s="62"/>
      <c r="I134" s="62"/>
      <c r="J134" s="62"/>
      <c r="K134" s="62"/>
      <c r="L134" s="61"/>
      <c r="M134" s="24"/>
      <c r="P134" s="25"/>
    </row>
    <row r="135" spans="3:16" ht="12.75" x14ac:dyDescent="0.2">
      <c r="C135" s="6"/>
      <c r="D135" s="55" t="s">
        <v>291</v>
      </c>
      <c r="E135" s="48" t="s">
        <v>209</v>
      </c>
      <c r="F135" s="22" t="s">
        <v>292</v>
      </c>
      <c r="G135" s="23">
        <f t="shared" si="1"/>
        <v>0</v>
      </c>
      <c r="H135" s="58">
        <f>H136+H137</f>
        <v>0</v>
      </c>
      <c r="I135" s="58">
        <f>I136+I137</f>
        <v>0</v>
      </c>
      <c r="J135" s="58">
        <f>J136+J137</f>
        <v>0</v>
      </c>
      <c r="K135" s="58">
        <f>K136+K137</f>
        <v>0</v>
      </c>
      <c r="L135" s="61"/>
      <c r="M135" s="24"/>
      <c r="P135" s="25"/>
    </row>
    <row r="136" spans="3:16" ht="12.75" x14ac:dyDescent="0.2">
      <c r="C136" s="6"/>
      <c r="D136" s="55" t="s">
        <v>293</v>
      </c>
      <c r="E136" s="49" t="s">
        <v>215</v>
      </c>
      <c r="F136" s="22" t="s">
        <v>294</v>
      </c>
      <c r="G136" s="23">
        <f t="shared" si="1"/>
        <v>0</v>
      </c>
      <c r="H136" s="62"/>
      <c r="I136" s="62"/>
      <c r="J136" s="62"/>
      <c r="K136" s="62"/>
      <c r="L136" s="61"/>
      <c r="M136" s="24"/>
      <c r="P136" s="25"/>
    </row>
    <row r="137" spans="3:16" ht="12.75" x14ac:dyDescent="0.2">
      <c r="C137" s="6"/>
      <c r="D137" s="55" t="s">
        <v>295</v>
      </c>
      <c r="E137" s="49" t="s">
        <v>296</v>
      </c>
      <c r="F137" s="22" t="s">
        <v>297</v>
      </c>
      <c r="G137" s="23">
        <f t="shared" si="1"/>
        <v>0</v>
      </c>
      <c r="H137" s="62"/>
      <c r="I137" s="62"/>
      <c r="J137" s="62"/>
      <c r="K137" s="62"/>
      <c r="L137" s="61"/>
      <c r="M137" s="24"/>
      <c r="P137" s="25"/>
    </row>
    <row r="138" spans="3:16" ht="12.75" x14ac:dyDescent="0.2">
      <c r="C138" s="6"/>
      <c r="D138" s="55" t="s">
        <v>298</v>
      </c>
      <c r="E138" s="26" t="s">
        <v>247</v>
      </c>
      <c r="F138" s="22" t="s">
        <v>299</v>
      </c>
      <c r="G138" s="23">
        <f t="shared" si="1"/>
        <v>0</v>
      </c>
      <c r="H138" s="58">
        <f>H139+H141</f>
        <v>0</v>
      </c>
      <c r="I138" s="58">
        <f>I139+I141</f>
        <v>0</v>
      </c>
      <c r="J138" s="58">
        <f>J139+J141</f>
        <v>0</v>
      </c>
      <c r="K138" s="58">
        <f>K139+K141</f>
        <v>0</v>
      </c>
      <c r="L138" s="61"/>
      <c r="M138" s="24"/>
      <c r="P138" s="25">
        <v>870</v>
      </c>
    </row>
    <row r="139" spans="3:16" ht="12.75" x14ac:dyDescent="0.2">
      <c r="C139" s="6"/>
      <c r="D139" s="55" t="s">
        <v>300</v>
      </c>
      <c r="E139" s="48" t="s">
        <v>277</v>
      </c>
      <c r="F139" s="22" t="s">
        <v>301</v>
      </c>
      <c r="G139" s="23">
        <f t="shared" si="1"/>
        <v>0</v>
      </c>
      <c r="H139" s="56"/>
      <c r="I139" s="56"/>
      <c r="J139" s="56"/>
      <c r="K139" s="56"/>
      <c r="L139" s="61"/>
      <c r="M139" s="24"/>
      <c r="P139" s="25">
        <v>880</v>
      </c>
    </row>
    <row r="140" spans="3:16" ht="12.75" x14ac:dyDescent="0.2">
      <c r="C140" s="6"/>
      <c r="D140" s="55" t="s">
        <v>302</v>
      </c>
      <c r="E140" s="49" t="s">
        <v>280</v>
      </c>
      <c r="F140" s="22" t="s">
        <v>303</v>
      </c>
      <c r="G140" s="23">
        <f t="shared" si="1"/>
        <v>0</v>
      </c>
      <c r="H140" s="56"/>
      <c r="I140" s="56"/>
      <c r="J140" s="56"/>
      <c r="K140" s="56"/>
      <c r="L140" s="61"/>
      <c r="M140" s="24"/>
      <c r="P140" s="25"/>
    </row>
    <row r="141" spans="3:16" ht="12.75" x14ac:dyDescent="0.2">
      <c r="C141" s="6"/>
      <c r="D141" s="55" t="s">
        <v>304</v>
      </c>
      <c r="E141" s="48" t="s">
        <v>283</v>
      </c>
      <c r="F141" s="22" t="s">
        <v>305</v>
      </c>
      <c r="G141" s="23">
        <f t="shared" si="1"/>
        <v>0</v>
      </c>
      <c r="H141" s="63"/>
      <c r="I141" s="63"/>
      <c r="J141" s="63"/>
      <c r="K141" s="63"/>
      <c r="L141" s="61"/>
      <c r="M141" s="24"/>
      <c r="P141" s="25">
        <v>890</v>
      </c>
    </row>
    <row r="142" spans="3:16" ht="12.75" x14ac:dyDescent="0.2">
      <c r="C142" s="6"/>
      <c r="D142" s="55" t="s">
        <v>306</v>
      </c>
      <c r="E142" s="21" t="s">
        <v>307</v>
      </c>
      <c r="F142" s="22" t="s">
        <v>308</v>
      </c>
      <c r="G142" s="23">
        <f t="shared" si="1"/>
        <v>2735.1906399999998</v>
      </c>
      <c r="H142" s="64">
        <f>SUM( H143:H144)</f>
        <v>0</v>
      </c>
      <c r="I142" s="64">
        <f>SUM( I143:I144)</f>
        <v>0</v>
      </c>
      <c r="J142" s="64">
        <f>SUM( J143:J144)</f>
        <v>353.63764800000001</v>
      </c>
      <c r="K142" s="64">
        <f>SUM( K143:K144)</f>
        <v>2381.5529919999999</v>
      </c>
      <c r="L142" s="61"/>
      <c r="M142" s="24"/>
      <c r="P142" s="25">
        <v>900</v>
      </c>
    </row>
    <row r="143" spans="3:16" ht="12.75" x14ac:dyDescent="0.2">
      <c r="C143" s="6"/>
      <c r="D143" s="55" t="s">
        <v>309</v>
      </c>
      <c r="E143" s="26" t="s">
        <v>185</v>
      </c>
      <c r="F143" s="22" t="s">
        <v>310</v>
      </c>
      <c r="G143" s="23">
        <f t="shared" si="1"/>
        <v>2735.1906399999998</v>
      </c>
      <c r="H143" s="63"/>
      <c r="I143" s="63"/>
      <c r="J143" s="65">
        <f>J121*1.456</f>
        <v>353.63764800000001</v>
      </c>
      <c r="K143" s="65">
        <f>K121*1.456</f>
        <v>2381.5529919999999</v>
      </c>
      <c r="L143" s="61"/>
      <c r="M143" s="24"/>
      <c r="P143" s="25"/>
    </row>
    <row r="144" spans="3:16" ht="12.75" x14ac:dyDescent="0.2">
      <c r="C144" s="6"/>
      <c r="D144" s="55" t="s">
        <v>311</v>
      </c>
      <c r="E144" s="26" t="s">
        <v>188</v>
      </c>
      <c r="F144" s="22" t="s">
        <v>312</v>
      </c>
      <c r="G144" s="23">
        <f t="shared" si="1"/>
        <v>0</v>
      </c>
      <c r="H144" s="64">
        <f>H145+H146</f>
        <v>0</v>
      </c>
      <c r="I144" s="64">
        <f>I145+I146</f>
        <v>0</v>
      </c>
      <c r="J144" s="64">
        <f>J145+J146</f>
        <v>0</v>
      </c>
      <c r="K144" s="64">
        <f>K145+K146</f>
        <v>0</v>
      </c>
      <c r="L144" s="61"/>
      <c r="M144" s="24"/>
      <c r="P144" s="25"/>
    </row>
    <row r="145" spans="3:19" ht="12.75" x14ac:dyDescent="0.2">
      <c r="C145" s="6"/>
      <c r="D145" s="55" t="s">
        <v>313</v>
      </c>
      <c r="E145" s="48" t="s">
        <v>314</v>
      </c>
      <c r="F145" s="22" t="s">
        <v>315</v>
      </c>
      <c r="G145" s="23">
        <f t="shared" si="1"/>
        <v>0</v>
      </c>
      <c r="H145" s="63"/>
      <c r="I145" s="63"/>
      <c r="J145" s="63"/>
      <c r="K145" s="63"/>
      <c r="L145" s="61"/>
      <c r="M145" s="24"/>
      <c r="P145" s="25" t="s">
        <v>316</v>
      </c>
    </row>
    <row r="146" spans="3:19" ht="12.75" x14ac:dyDescent="0.2">
      <c r="C146" s="6"/>
      <c r="D146" s="55" t="s">
        <v>317</v>
      </c>
      <c r="E146" s="48" t="s">
        <v>283</v>
      </c>
      <c r="F146" s="22" t="s">
        <v>318</v>
      </c>
      <c r="G146" s="23">
        <f t="shared" si="1"/>
        <v>0</v>
      </c>
      <c r="H146" s="63"/>
      <c r="I146" s="63"/>
      <c r="J146" s="63"/>
      <c r="K146" s="66"/>
      <c r="L146" s="61"/>
      <c r="M146" s="24"/>
      <c r="P146" s="25" t="s">
        <v>319</v>
      </c>
    </row>
    <row r="147" spans="3:19" x14ac:dyDescent="0.25">
      <c r="D147" s="11"/>
      <c r="E147" s="67"/>
      <c r="F147" s="67"/>
      <c r="G147" s="67"/>
      <c r="H147" s="67"/>
      <c r="I147" s="67"/>
      <c r="J147" s="67"/>
      <c r="K147" s="68"/>
      <c r="L147" s="68"/>
      <c r="M147" s="68"/>
      <c r="N147" s="68"/>
      <c r="O147" s="68"/>
      <c r="P147" s="68"/>
      <c r="Q147" s="68"/>
      <c r="R147" s="69"/>
      <c r="S147" s="69"/>
    </row>
    <row r="148" spans="3:19" ht="12.75" x14ac:dyDescent="0.2">
      <c r="E148" s="24" t="s">
        <v>320</v>
      </c>
      <c r="F148" s="79" t="str">
        <f>IF([5]Титульный!G45="","",[5]Титульный!G45)</f>
        <v>Коммерческий директор</v>
      </c>
      <c r="G148" s="79"/>
      <c r="H148" s="70"/>
      <c r="I148" s="79" t="str">
        <f>IF([5]Титульный!G44="","",[5]Титульный!G44)</f>
        <v>Байков Алексей Александрович</v>
      </c>
      <c r="J148" s="79"/>
      <c r="K148" s="79"/>
      <c r="L148" s="70"/>
      <c r="M148" s="71"/>
      <c r="N148" s="71"/>
      <c r="O148" s="72"/>
      <c r="P148" s="68"/>
      <c r="Q148" s="68"/>
      <c r="R148" s="69"/>
      <c r="S148" s="69"/>
    </row>
    <row r="149" spans="3:19" ht="12.75" x14ac:dyDescent="0.2">
      <c r="E149" s="73" t="s">
        <v>321</v>
      </c>
      <c r="F149" s="78" t="s">
        <v>322</v>
      </c>
      <c r="G149" s="78"/>
      <c r="H149" s="72"/>
      <c r="I149" s="78" t="s">
        <v>323</v>
      </c>
      <c r="J149" s="78"/>
      <c r="K149" s="78"/>
      <c r="L149" s="72"/>
      <c r="M149" s="78" t="s">
        <v>324</v>
      </c>
      <c r="N149" s="78"/>
      <c r="O149" s="24"/>
      <c r="P149" s="68"/>
      <c r="Q149" s="68"/>
      <c r="R149" s="69"/>
      <c r="S149" s="69"/>
    </row>
    <row r="150" spans="3:19" ht="12.75" x14ac:dyDescent="0.2">
      <c r="E150" s="73" t="s">
        <v>325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68"/>
      <c r="Q150" s="68"/>
      <c r="R150" s="69"/>
      <c r="S150" s="69"/>
    </row>
    <row r="151" spans="3:19" ht="12.75" x14ac:dyDescent="0.2">
      <c r="E151" s="73" t="s">
        <v>326</v>
      </c>
      <c r="F151" s="79" t="str">
        <f>IF([5]Титульный!G46="","",[5]Титульный!G46)</f>
        <v>(495) 637 3220</v>
      </c>
      <c r="G151" s="79"/>
      <c r="H151" s="79"/>
      <c r="I151" s="24"/>
      <c r="J151" s="73" t="s">
        <v>327</v>
      </c>
      <c r="K151" s="74"/>
      <c r="L151" s="24"/>
      <c r="M151" s="24"/>
      <c r="N151" s="24"/>
      <c r="O151" s="24"/>
      <c r="P151" s="68"/>
      <c r="Q151" s="68"/>
      <c r="R151" s="69"/>
      <c r="S151" s="69"/>
    </row>
    <row r="152" spans="3:19" ht="12.75" x14ac:dyDescent="0.2">
      <c r="E152" s="24" t="s">
        <v>328</v>
      </c>
      <c r="F152" s="80" t="s">
        <v>329</v>
      </c>
      <c r="G152" s="80"/>
      <c r="H152" s="80"/>
      <c r="I152" s="24"/>
      <c r="J152" s="75" t="s">
        <v>330</v>
      </c>
      <c r="K152" s="75"/>
      <c r="L152" s="24"/>
      <c r="M152" s="24"/>
      <c r="N152" s="24"/>
      <c r="O152" s="24"/>
      <c r="P152" s="68"/>
      <c r="Q152" s="68"/>
      <c r="R152" s="69"/>
      <c r="S152" s="69"/>
    </row>
    <row r="153" spans="3:19" x14ac:dyDescent="0.25"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9"/>
      <c r="S153" s="69"/>
    </row>
    <row r="154" spans="3:19" x14ac:dyDescent="0.25"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9"/>
      <c r="S154" s="69"/>
    </row>
    <row r="155" spans="3:19" x14ac:dyDescent="0.25"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9"/>
      <c r="S155" s="69"/>
    </row>
    <row r="156" spans="3:19" x14ac:dyDescent="0.25"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9"/>
      <c r="S156" s="69"/>
    </row>
    <row r="157" spans="3:19" x14ac:dyDescent="0.25"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9"/>
      <c r="S157" s="69"/>
    </row>
    <row r="158" spans="3:19" x14ac:dyDescent="0.25"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9"/>
      <c r="S158" s="69"/>
    </row>
    <row r="159" spans="3:19" x14ac:dyDescent="0.25"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  <c r="S159" s="69"/>
    </row>
    <row r="160" spans="3:19" x14ac:dyDescent="0.25"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9"/>
      <c r="S160" s="69"/>
    </row>
    <row r="161" spans="5:19" x14ac:dyDescent="0.25"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9"/>
      <c r="S161" s="69"/>
    </row>
    <row r="162" spans="5:19" x14ac:dyDescent="0.25"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9"/>
      <c r="S162" s="69"/>
    </row>
    <row r="163" spans="5:19" x14ac:dyDescent="0.25"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9"/>
      <c r="S163" s="69"/>
    </row>
    <row r="164" spans="5:19" x14ac:dyDescent="0.25"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9"/>
      <c r="S164" s="69"/>
    </row>
    <row r="165" spans="5:19" x14ac:dyDescent="0.25"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9"/>
      <c r="S165" s="69"/>
    </row>
    <row r="166" spans="5:19" x14ac:dyDescent="0.25"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9"/>
      <c r="S166" s="69"/>
    </row>
    <row r="167" spans="5:19" x14ac:dyDescent="0.25"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9"/>
      <c r="S167" s="69"/>
    </row>
    <row r="168" spans="5:19" x14ac:dyDescent="0.25"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9"/>
      <c r="S168" s="69"/>
    </row>
    <row r="169" spans="5:19" x14ac:dyDescent="0.25"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9"/>
      <c r="S169" s="69"/>
    </row>
    <row r="170" spans="5:19" x14ac:dyDescent="0.25"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9"/>
      <c r="S170" s="69"/>
    </row>
    <row r="171" spans="5:19" x14ac:dyDescent="0.25"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9"/>
      <c r="S171" s="69"/>
    </row>
    <row r="172" spans="5:19" x14ac:dyDescent="0.25"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9"/>
      <c r="S172" s="69"/>
    </row>
    <row r="173" spans="5:19" x14ac:dyDescent="0.25"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9"/>
      <c r="S173" s="69"/>
    </row>
    <row r="174" spans="5:19" x14ac:dyDescent="0.25"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9"/>
      <c r="S174" s="69"/>
    </row>
    <row r="175" spans="5:19" x14ac:dyDescent="0.25"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9"/>
      <c r="S175" s="69"/>
    </row>
    <row r="176" spans="5:19" x14ac:dyDescent="0.25"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9"/>
      <c r="S176" s="69"/>
    </row>
    <row r="177" spans="5:19" x14ac:dyDescent="0.25"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9"/>
      <c r="S177" s="69"/>
    </row>
    <row r="178" spans="5:19" x14ac:dyDescent="0.25"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</row>
    <row r="179" spans="5:19" x14ac:dyDescent="0.25"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5:19" x14ac:dyDescent="0.25"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5:19" x14ac:dyDescent="0.25"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</sheetData>
  <mergeCells count="18">
    <mergeCell ref="F148:G148"/>
    <mergeCell ref="I148:K148"/>
    <mergeCell ref="D8:E8"/>
    <mergeCell ref="D11:D12"/>
    <mergeCell ref="E11:E12"/>
    <mergeCell ref="F11:F12"/>
    <mergeCell ref="G11:G12"/>
    <mergeCell ref="H11:K11"/>
    <mergeCell ref="D14:K14"/>
    <mergeCell ref="D51:K51"/>
    <mergeCell ref="D88:K88"/>
    <mergeCell ref="D92:K92"/>
    <mergeCell ref="D125:K125"/>
    <mergeCell ref="F149:G149"/>
    <mergeCell ref="I149:K149"/>
    <mergeCell ref="M149:N149"/>
    <mergeCell ref="F151:H151"/>
    <mergeCell ref="F152:H152"/>
  </mergeCells>
  <dataValidations count="2">
    <dataValidation allowBlank="1" showInputMessage="1" promptTitle="Ввод" prompt="Для выбора организации необходимо два раза нажать левую клавишу мыши!" sqref="E25 E62"/>
    <dataValidation type="decimal" allowBlank="1" showErrorMessage="1" errorTitle="Ошибка" error="Допускается ввод только действительных чисел!" sqref="G27:K40 G89:K91 G93:K124 G52:K55 G23:K25 G79:K87 G20:K21 G64:K77 G42:K50 G15:K18 G126:K146 G57:K58 G60:K6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Y181"/>
  <sheetViews>
    <sheetView view="pageBreakPreview" topLeftCell="C7" zoomScaleNormal="100" zoomScaleSheetLayoutView="100" workbookViewId="0">
      <selection activeCell="K8" sqref="K8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idden="1" x14ac:dyDescent="0.25">
      <c r="S1" s="2"/>
      <c r="T1" s="2"/>
      <c r="U1" s="2"/>
      <c r="V1" s="2"/>
      <c r="Y1" s="2"/>
      <c r="AN1" s="2"/>
      <c r="AO1" s="2"/>
      <c r="AP1" s="2"/>
      <c r="BC1" s="2"/>
      <c r="BF1" s="2"/>
      <c r="BI1" s="2"/>
      <c r="BJ1" s="2"/>
      <c r="BX1" s="2"/>
      <c r="BY1" s="2"/>
    </row>
    <row r="2" spans="1:77" hidden="1" x14ac:dyDescent="0.25"/>
    <row r="3" spans="1:77" hidden="1" x14ac:dyDescent="0.25"/>
    <row r="4" spans="1:77" hidden="1" x14ac:dyDescent="0.2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idden="1" x14ac:dyDescent="0.2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idden="1" x14ac:dyDescent="0.25">
      <c r="A6" s="5"/>
    </row>
    <row r="7" spans="1:77" ht="12" customHeight="1" x14ac:dyDescent="0.25">
      <c r="A7" s="5"/>
      <c r="D7" s="6"/>
      <c r="E7" s="6"/>
      <c r="F7" s="6"/>
      <c r="G7" s="6"/>
      <c r="H7" s="6"/>
      <c r="I7" s="6"/>
      <c r="J7" s="6"/>
      <c r="K7" s="7" t="s">
        <v>335</v>
      </c>
      <c r="Q7" s="8"/>
    </row>
    <row r="8" spans="1:77" ht="22.5" customHeight="1" x14ac:dyDescent="0.25">
      <c r="A8" s="5"/>
      <c r="D8" s="81" t="s">
        <v>11</v>
      </c>
      <c r="E8" s="8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77" x14ac:dyDescent="0.25">
      <c r="A9" s="5"/>
      <c r="D9" s="10" t="str">
        <f>IF(org="","Не определено",org)</f>
        <v>ЗАО "Коттон Вэй"</v>
      </c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77" ht="12" customHeight="1" x14ac:dyDescent="0.25">
      <c r="D10" s="11"/>
      <c r="E10" s="11"/>
      <c r="F10" s="6"/>
      <c r="G10" s="6"/>
      <c r="H10" s="6"/>
      <c r="I10" s="6"/>
      <c r="K10" s="12" t="s">
        <v>12</v>
      </c>
    </row>
    <row r="11" spans="1:77" ht="15" customHeight="1" x14ac:dyDescent="0.25">
      <c r="C11" s="6"/>
      <c r="D11" s="82" t="s">
        <v>13</v>
      </c>
      <c r="E11" s="84" t="s">
        <v>14</v>
      </c>
      <c r="F11" s="84" t="s">
        <v>15</v>
      </c>
      <c r="G11" s="84" t="s">
        <v>16</v>
      </c>
      <c r="H11" s="84" t="s">
        <v>17</v>
      </c>
      <c r="I11" s="84"/>
      <c r="J11" s="84"/>
      <c r="K11" s="86"/>
      <c r="L11" s="13"/>
    </row>
    <row r="12" spans="1:77" ht="15" customHeight="1" x14ac:dyDescent="0.25">
      <c r="C12" s="6"/>
      <c r="D12" s="83"/>
      <c r="E12" s="85"/>
      <c r="F12" s="85"/>
      <c r="G12" s="85"/>
      <c r="H12" s="14" t="s">
        <v>18</v>
      </c>
      <c r="I12" s="14" t="s">
        <v>19</v>
      </c>
      <c r="J12" s="14" t="s">
        <v>20</v>
      </c>
      <c r="K12" s="15" t="s">
        <v>21</v>
      </c>
      <c r="L12" s="13"/>
    </row>
    <row r="13" spans="1:77" ht="12" customHeight="1" x14ac:dyDescent="0.25">
      <c r="D13" s="16">
        <v>0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</row>
    <row r="14" spans="1:77" s="17" customFormat="1" ht="15" customHeight="1" x14ac:dyDescent="0.25">
      <c r="C14" s="18"/>
      <c r="D14" s="87" t="s">
        <v>22</v>
      </c>
      <c r="E14" s="88"/>
      <c r="F14" s="88"/>
      <c r="G14" s="88"/>
      <c r="H14" s="88"/>
      <c r="I14" s="88"/>
      <c r="J14" s="88"/>
      <c r="K14" s="89"/>
      <c r="L14" s="19"/>
    </row>
    <row r="15" spans="1:77" s="17" customFormat="1" ht="15" customHeight="1" x14ac:dyDescent="0.2">
      <c r="C15" s="18"/>
      <c r="D15" s="20" t="s">
        <v>23</v>
      </c>
      <c r="E15" s="21" t="s">
        <v>24</v>
      </c>
      <c r="F15" s="22">
        <v>10</v>
      </c>
      <c r="G15" s="23">
        <f>SUM(H15:K15)</f>
        <v>1685.75</v>
      </c>
      <c r="H15" s="23">
        <f>H16+H17+H20+H23</f>
        <v>1302.53</v>
      </c>
      <c r="I15" s="23">
        <f>I16+I17+I20+I23</f>
        <v>0</v>
      </c>
      <c r="J15" s="23">
        <f>J16+J17+J20+J23</f>
        <v>383.22</v>
      </c>
      <c r="K15" s="23">
        <f>K16+K17+K20+K23</f>
        <v>0</v>
      </c>
      <c r="L15" s="19"/>
      <c r="M15" s="24"/>
      <c r="P15" s="25">
        <v>10</v>
      </c>
    </row>
    <row r="16" spans="1:77" s="17" customFormat="1" ht="15" customHeight="1" x14ac:dyDescent="0.2">
      <c r="C16" s="18"/>
      <c r="D16" s="20" t="s">
        <v>25</v>
      </c>
      <c r="E16" s="26" t="s">
        <v>26</v>
      </c>
      <c r="F16" s="22">
        <v>20</v>
      </c>
      <c r="G16" s="23">
        <f t="shared" ref="G16:G132" si="0">SUM(H16:K16)</f>
        <v>0</v>
      </c>
      <c r="H16" s="27"/>
      <c r="I16" s="27"/>
      <c r="J16" s="27"/>
      <c r="K16" s="27"/>
      <c r="L16" s="19"/>
      <c r="M16" s="24"/>
      <c r="P16" s="25">
        <v>20</v>
      </c>
    </row>
    <row r="17" spans="3:16" s="17" customFormat="1" ht="12.75" x14ac:dyDescent="0.2">
      <c r="C17" s="18"/>
      <c r="D17" s="20" t="s">
        <v>27</v>
      </c>
      <c r="E17" s="26" t="s">
        <v>28</v>
      </c>
      <c r="F17" s="22">
        <v>30</v>
      </c>
      <c r="G17" s="23">
        <f t="shared" si="0"/>
        <v>0</v>
      </c>
      <c r="H17" s="23">
        <f>SUM(H18:H19)</f>
        <v>0</v>
      </c>
      <c r="I17" s="23">
        <f>SUM(I18:I19)</f>
        <v>0</v>
      </c>
      <c r="J17" s="23">
        <f>SUM(J18:J19)</f>
        <v>0</v>
      </c>
      <c r="K17" s="23">
        <f>SUM(K18:K19)</f>
        <v>0</v>
      </c>
      <c r="L17" s="19"/>
      <c r="M17" s="24"/>
      <c r="P17" s="25">
        <v>30</v>
      </c>
    </row>
    <row r="18" spans="3:16" s="17" customFormat="1" ht="12.75" x14ac:dyDescent="0.2">
      <c r="C18" s="18"/>
      <c r="D18" s="28" t="s">
        <v>29</v>
      </c>
      <c r="E18" s="29"/>
      <c r="F18" s="30" t="s">
        <v>30</v>
      </c>
      <c r="G18" s="31"/>
      <c r="H18" s="31"/>
      <c r="I18" s="31"/>
      <c r="J18" s="31"/>
      <c r="K18" s="31"/>
      <c r="L18" s="19"/>
      <c r="M18" s="24"/>
      <c r="P18" s="25"/>
    </row>
    <row r="19" spans="3:16" s="17" customFormat="1" ht="12.75" x14ac:dyDescent="0.2">
      <c r="C19" s="18"/>
      <c r="D19" s="32"/>
      <c r="E19" s="33" t="s">
        <v>31</v>
      </c>
      <c r="F19" s="34"/>
      <c r="G19" s="34"/>
      <c r="H19" s="34"/>
      <c r="I19" s="34"/>
      <c r="J19" s="34"/>
      <c r="K19" s="35"/>
      <c r="L19" s="19"/>
      <c r="M19" s="24"/>
      <c r="P19" s="36"/>
    </row>
    <row r="20" spans="3:16" s="17" customFormat="1" ht="12.75" x14ac:dyDescent="0.2">
      <c r="C20" s="18"/>
      <c r="D20" s="20" t="s">
        <v>32</v>
      </c>
      <c r="E20" s="26" t="s">
        <v>33</v>
      </c>
      <c r="F20" s="22" t="s">
        <v>34</v>
      </c>
      <c r="G20" s="23">
        <f t="shared" si="0"/>
        <v>0</v>
      </c>
      <c r="H20" s="23">
        <f>SUM(H21:H22)</f>
        <v>0</v>
      </c>
      <c r="I20" s="23">
        <f>SUM(I21:I22)</f>
        <v>0</v>
      </c>
      <c r="J20" s="23">
        <f>SUM(J21:J22)</f>
        <v>0</v>
      </c>
      <c r="K20" s="23">
        <f>SUM(K21:K22)</f>
        <v>0</v>
      </c>
      <c r="L20" s="19"/>
      <c r="M20" s="24"/>
      <c r="P20" s="36"/>
    </row>
    <row r="21" spans="3:16" s="17" customFormat="1" ht="12.75" x14ac:dyDescent="0.2">
      <c r="C21" s="18"/>
      <c r="D21" s="28" t="s">
        <v>35</v>
      </c>
      <c r="E21" s="29"/>
      <c r="F21" s="30" t="s">
        <v>34</v>
      </c>
      <c r="G21" s="31"/>
      <c r="H21" s="31"/>
      <c r="I21" s="31"/>
      <c r="J21" s="31"/>
      <c r="K21" s="31"/>
      <c r="L21" s="19"/>
      <c r="M21" s="24"/>
      <c r="P21" s="25"/>
    </row>
    <row r="22" spans="3:16" s="17" customFormat="1" ht="12.75" x14ac:dyDescent="0.2">
      <c r="C22" s="18"/>
      <c r="D22" s="32"/>
      <c r="E22" s="33" t="s">
        <v>31</v>
      </c>
      <c r="F22" s="34"/>
      <c r="G22" s="34"/>
      <c r="H22" s="34"/>
      <c r="I22" s="34"/>
      <c r="J22" s="34"/>
      <c r="K22" s="35"/>
      <c r="L22" s="19"/>
      <c r="M22" s="24"/>
      <c r="P22" s="36"/>
    </row>
    <row r="23" spans="3:16" s="17" customFormat="1" ht="12.75" x14ac:dyDescent="0.2">
      <c r="C23" s="18"/>
      <c r="D23" s="20" t="s">
        <v>36</v>
      </c>
      <c r="E23" s="26" t="s">
        <v>37</v>
      </c>
      <c r="F23" s="22" t="s">
        <v>38</v>
      </c>
      <c r="G23" s="23">
        <f t="shared" si="0"/>
        <v>1685.75</v>
      </c>
      <c r="H23" s="23">
        <f>SUM(H24:H26)</f>
        <v>1302.53</v>
      </c>
      <c r="I23" s="23">
        <f>SUM(I24:I26)</f>
        <v>0</v>
      </c>
      <c r="J23" s="23">
        <f>SUM(J24:J26)</f>
        <v>383.22</v>
      </c>
      <c r="K23" s="23">
        <f>SUM(K24:K26)</f>
        <v>0</v>
      </c>
      <c r="L23" s="19"/>
      <c r="M23" s="24"/>
      <c r="P23" s="25">
        <v>40</v>
      </c>
    </row>
    <row r="24" spans="3:16" s="17" customFormat="1" ht="12.75" x14ac:dyDescent="0.2">
      <c r="C24" s="18"/>
      <c r="D24" s="28" t="s">
        <v>39</v>
      </c>
      <c r="E24" s="29"/>
      <c r="F24" s="30" t="s">
        <v>38</v>
      </c>
      <c r="G24" s="31"/>
      <c r="H24" s="31"/>
      <c r="I24" s="31"/>
      <c r="J24" s="31"/>
      <c r="K24" s="31"/>
      <c r="L24" s="19"/>
      <c r="M24" s="24"/>
      <c r="P24" s="25"/>
    </row>
    <row r="25" spans="3:16" s="17" customFormat="1" ht="15" x14ac:dyDescent="0.25">
      <c r="C25" s="37" t="s">
        <v>40</v>
      </c>
      <c r="D25" s="38" t="s">
        <v>41</v>
      </c>
      <c r="E25" s="39" t="s">
        <v>42</v>
      </c>
      <c r="F25" s="40">
        <v>431</v>
      </c>
      <c r="G25" s="41">
        <f>SUM(H25:K25)</f>
        <v>1685.75</v>
      </c>
      <c r="H25" s="42">
        <v>1302.53</v>
      </c>
      <c r="I25" s="42">
        <v>0</v>
      </c>
      <c r="J25" s="42">
        <v>383.22</v>
      </c>
      <c r="K25" s="42">
        <v>0</v>
      </c>
      <c r="L25" s="19"/>
      <c r="M25" s="43" t="s">
        <v>43</v>
      </c>
      <c r="N25" s="44" t="s">
        <v>44</v>
      </c>
      <c r="O25" s="44" t="s">
        <v>45</v>
      </c>
    </row>
    <row r="26" spans="3:16" s="17" customFormat="1" ht="12.75" x14ac:dyDescent="0.2">
      <c r="C26" s="18"/>
      <c r="D26" s="32"/>
      <c r="E26" s="33" t="s">
        <v>31</v>
      </c>
      <c r="F26" s="34"/>
      <c r="G26" s="34"/>
      <c r="H26" s="34"/>
      <c r="I26" s="34"/>
      <c r="J26" s="34"/>
      <c r="K26" s="35"/>
      <c r="L26" s="19"/>
      <c r="M26" s="24"/>
      <c r="P26" s="25"/>
    </row>
    <row r="27" spans="3:16" s="17" customFormat="1" ht="12.75" x14ac:dyDescent="0.2">
      <c r="C27" s="18"/>
      <c r="D27" s="20" t="s">
        <v>46</v>
      </c>
      <c r="E27" s="21" t="s">
        <v>47</v>
      </c>
      <c r="F27" s="22" t="s">
        <v>48</v>
      </c>
      <c r="G27" s="23">
        <f t="shared" si="0"/>
        <v>2822.739</v>
      </c>
      <c r="H27" s="23">
        <f>H29+H30+H31</f>
        <v>0</v>
      </c>
      <c r="I27" s="23">
        <f>I28+I30+I31</f>
        <v>0</v>
      </c>
      <c r="J27" s="23">
        <f>J28+J29+J31</f>
        <v>1302.53</v>
      </c>
      <c r="K27" s="23">
        <f>K28+K29+K30</f>
        <v>1520.2090000000001</v>
      </c>
      <c r="L27" s="19"/>
      <c r="M27" s="24"/>
      <c r="P27" s="25">
        <v>50</v>
      </c>
    </row>
    <row r="28" spans="3:16" s="17" customFormat="1" ht="12.75" x14ac:dyDescent="0.2">
      <c r="C28" s="18"/>
      <c r="D28" s="20" t="s">
        <v>49</v>
      </c>
      <c r="E28" s="26" t="s">
        <v>18</v>
      </c>
      <c r="F28" s="22" t="s">
        <v>50</v>
      </c>
      <c r="G28" s="23">
        <f t="shared" si="0"/>
        <v>1302.53</v>
      </c>
      <c r="H28" s="45"/>
      <c r="I28" s="27"/>
      <c r="J28" s="27">
        <f>H25</f>
        <v>1302.53</v>
      </c>
      <c r="K28" s="27"/>
      <c r="L28" s="19"/>
      <c r="M28" s="24"/>
      <c r="P28" s="25">
        <v>60</v>
      </c>
    </row>
    <row r="29" spans="3:16" s="17" customFormat="1" ht="12.75" x14ac:dyDescent="0.2">
      <c r="C29" s="18"/>
      <c r="D29" s="20" t="s">
        <v>51</v>
      </c>
      <c r="E29" s="26" t="s">
        <v>19</v>
      </c>
      <c r="F29" s="22" t="s">
        <v>52</v>
      </c>
      <c r="G29" s="23">
        <f t="shared" si="0"/>
        <v>0</v>
      </c>
      <c r="H29" s="27"/>
      <c r="I29" s="45"/>
      <c r="J29" s="27"/>
      <c r="K29" s="27"/>
      <c r="L29" s="19"/>
      <c r="M29" s="24"/>
      <c r="P29" s="25">
        <v>70</v>
      </c>
    </row>
    <row r="30" spans="3:16" s="17" customFormat="1" ht="12.75" x14ac:dyDescent="0.2">
      <c r="C30" s="18"/>
      <c r="D30" s="20" t="s">
        <v>53</v>
      </c>
      <c r="E30" s="26" t="s">
        <v>20</v>
      </c>
      <c r="F30" s="22" t="s">
        <v>54</v>
      </c>
      <c r="G30" s="23">
        <f t="shared" si="0"/>
        <v>1520.2090000000001</v>
      </c>
      <c r="H30" s="27"/>
      <c r="I30" s="27"/>
      <c r="J30" s="45"/>
      <c r="K30" s="27">
        <f>H25+J25-J36-J46</f>
        <v>1520.2090000000001</v>
      </c>
      <c r="L30" s="19"/>
      <c r="M30" s="24"/>
      <c r="P30" s="25">
        <v>80</v>
      </c>
    </row>
    <row r="31" spans="3:16" s="17" customFormat="1" ht="12.75" x14ac:dyDescent="0.2">
      <c r="C31" s="18"/>
      <c r="D31" s="20" t="s">
        <v>55</v>
      </c>
      <c r="E31" s="26" t="s">
        <v>56</v>
      </c>
      <c r="F31" s="22" t="s">
        <v>57</v>
      </c>
      <c r="G31" s="23">
        <f t="shared" si="0"/>
        <v>0</v>
      </c>
      <c r="H31" s="27"/>
      <c r="I31" s="27"/>
      <c r="J31" s="27"/>
      <c r="K31" s="45"/>
      <c r="L31" s="19"/>
      <c r="M31" s="24"/>
      <c r="P31" s="25">
        <v>90</v>
      </c>
    </row>
    <row r="32" spans="3:16" s="17" customFormat="1" ht="12.75" x14ac:dyDescent="0.2">
      <c r="C32" s="18"/>
      <c r="D32" s="20" t="s">
        <v>58</v>
      </c>
      <c r="E32" s="46" t="s">
        <v>59</v>
      </c>
      <c r="F32" s="22" t="s">
        <v>60</v>
      </c>
      <c r="G32" s="23">
        <f t="shared" si="0"/>
        <v>0</v>
      </c>
      <c r="H32" s="27"/>
      <c r="I32" s="27"/>
      <c r="J32" s="27"/>
      <c r="K32" s="27"/>
      <c r="L32" s="19"/>
      <c r="M32" s="24"/>
      <c r="P32" s="25"/>
    </row>
    <row r="33" spans="3:16" s="17" customFormat="1" ht="12.75" x14ac:dyDescent="0.2">
      <c r="C33" s="18"/>
      <c r="D33" s="20" t="s">
        <v>61</v>
      </c>
      <c r="E33" s="21" t="s">
        <v>62</v>
      </c>
      <c r="F33" s="47" t="s">
        <v>63</v>
      </c>
      <c r="G33" s="23">
        <f t="shared" si="0"/>
        <v>1649.5119999999999</v>
      </c>
      <c r="H33" s="23">
        <f>H34+H36+H39+H42</f>
        <v>0</v>
      </c>
      <c r="I33" s="23">
        <f>I34+I36+I39+I42</f>
        <v>0</v>
      </c>
      <c r="J33" s="23">
        <f>J34+J36+J39+J42</f>
        <v>165.541</v>
      </c>
      <c r="K33" s="23">
        <f>K34+K36+K39+K42</f>
        <v>1483.971</v>
      </c>
      <c r="L33" s="19"/>
      <c r="M33" s="24"/>
      <c r="P33" s="25">
        <v>100</v>
      </c>
    </row>
    <row r="34" spans="3:16" s="17" customFormat="1" ht="22.5" x14ac:dyDescent="0.2">
      <c r="C34" s="18"/>
      <c r="D34" s="20" t="s">
        <v>64</v>
      </c>
      <c r="E34" s="26" t="s">
        <v>65</v>
      </c>
      <c r="F34" s="22" t="s">
        <v>66</v>
      </c>
      <c r="G34" s="23">
        <f t="shared" si="0"/>
        <v>0</v>
      </c>
      <c r="H34" s="27"/>
      <c r="I34" s="27"/>
      <c r="J34" s="27"/>
      <c r="K34" s="27"/>
      <c r="L34" s="19"/>
      <c r="M34" s="24"/>
      <c r="P34" s="25"/>
    </row>
    <row r="35" spans="3:16" s="17" customFormat="1" ht="12.75" x14ac:dyDescent="0.2">
      <c r="C35" s="18"/>
      <c r="D35" s="20" t="s">
        <v>67</v>
      </c>
      <c r="E35" s="48" t="s">
        <v>68</v>
      </c>
      <c r="F35" s="22" t="s">
        <v>69</v>
      </c>
      <c r="G35" s="23">
        <f t="shared" si="0"/>
        <v>0</v>
      </c>
      <c r="H35" s="27"/>
      <c r="I35" s="27"/>
      <c r="J35" s="27"/>
      <c r="K35" s="27"/>
      <c r="L35" s="19"/>
      <c r="M35" s="24"/>
      <c r="P35" s="25"/>
    </row>
    <row r="36" spans="3:16" s="17" customFormat="1" ht="12.75" x14ac:dyDescent="0.2">
      <c r="C36" s="18"/>
      <c r="D36" s="20" t="s">
        <v>70</v>
      </c>
      <c r="E36" s="26" t="s">
        <v>71</v>
      </c>
      <c r="F36" s="22" t="s">
        <v>72</v>
      </c>
      <c r="G36" s="23">
        <f t="shared" si="0"/>
        <v>1649.5119999999999</v>
      </c>
      <c r="H36" s="27">
        <v>0</v>
      </c>
      <c r="I36" s="27">
        <v>0</v>
      </c>
      <c r="J36" s="27">
        <v>165.541</v>
      </c>
      <c r="K36" s="27">
        <v>1483.971</v>
      </c>
      <c r="L36" s="19"/>
      <c r="M36" s="24"/>
      <c r="P36" s="25"/>
    </row>
    <row r="37" spans="3:16" s="17" customFormat="1" ht="12.75" x14ac:dyDescent="0.2">
      <c r="C37" s="18"/>
      <c r="D37" s="20" t="s">
        <v>73</v>
      </c>
      <c r="E37" s="48" t="s">
        <v>74</v>
      </c>
      <c r="F37" s="22" t="s">
        <v>75</v>
      </c>
      <c r="G37" s="23">
        <f t="shared" si="0"/>
        <v>0</v>
      </c>
      <c r="H37" s="27"/>
      <c r="I37" s="27"/>
      <c r="J37" s="27"/>
      <c r="K37" s="27"/>
      <c r="L37" s="19"/>
      <c r="M37" s="24"/>
      <c r="P37" s="25"/>
    </row>
    <row r="38" spans="3:16" s="17" customFormat="1" ht="12.75" x14ac:dyDescent="0.2">
      <c r="C38" s="18"/>
      <c r="D38" s="20" t="s">
        <v>76</v>
      </c>
      <c r="E38" s="49" t="s">
        <v>68</v>
      </c>
      <c r="F38" s="22" t="s">
        <v>77</v>
      </c>
      <c r="G38" s="23">
        <f t="shared" si="0"/>
        <v>0</v>
      </c>
      <c r="H38" s="27"/>
      <c r="I38" s="27"/>
      <c r="J38" s="27"/>
      <c r="K38" s="27"/>
      <c r="L38" s="19"/>
      <c r="M38" s="24"/>
      <c r="P38" s="25"/>
    </row>
    <row r="39" spans="3:16" s="17" customFormat="1" ht="12.75" x14ac:dyDescent="0.2">
      <c r="C39" s="18"/>
      <c r="D39" s="20" t="s">
        <v>78</v>
      </c>
      <c r="E39" s="26" t="s">
        <v>79</v>
      </c>
      <c r="F39" s="22" t="s">
        <v>80</v>
      </c>
      <c r="G39" s="23">
        <f t="shared" si="0"/>
        <v>0</v>
      </c>
      <c r="H39" s="23">
        <f>SUM(H40:H41)</f>
        <v>0</v>
      </c>
      <c r="I39" s="23">
        <f>SUM(I40:I41)</f>
        <v>0</v>
      </c>
      <c r="J39" s="23">
        <f>SUM(J40:J41)</f>
        <v>0</v>
      </c>
      <c r="K39" s="23">
        <f>SUM(K40:K41)</f>
        <v>0</v>
      </c>
      <c r="L39" s="19"/>
      <c r="M39" s="24"/>
      <c r="P39" s="25"/>
    </row>
    <row r="40" spans="3:16" s="17" customFormat="1" ht="12.75" x14ac:dyDescent="0.2">
      <c r="C40" s="18"/>
      <c r="D40" s="28" t="s">
        <v>81</v>
      </c>
      <c r="E40" s="29"/>
      <c r="F40" s="30" t="s">
        <v>80</v>
      </c>
      <c r="G40" s="31"/>
      <c r="H40" s="31"/>
      <c r="I40" s="31"/>
      <c r="J40" s="31"/>
      <c r="K40" s="31"/>
      <c r="L40" s="19"/>
      <c r="M40" s="24"/>
      <c r="P40" s="25"/>
    </row>
    <row r="41" spans="3:16" s="17" customFormat="1" ht="12.75" x14ac:dyDescent="0.2">
      <c r="C41" s="18"/>
      <c r="D41" s="50"/>
      <c r="E41" s="33" t="s">
        <v>31</v>
      </c>
      <c r="F41" s="34"/>
      <c r="G41" s="34"/>
      <c r="H41" s="34"/>
      <c r="I41" s="34"/>
      <c r="J41" s="34"/>
      <c r="K41" s="35"/>
      <c r="L41" s="19"/>
      <c r="M41" s="24"/>
      <c r="P41" s="25"/>
    </row>
    <row r="42" spans="3:16" s="17" customFormat="1" ht="12.75" x14ac:dyDescent="0.2">
      <c r="C42" s="18"/>
      <c r="D42" s="20" t="s">
        <v>82</v>
      </c>
      <c r="E42" s="51" t="s">
        <v>83</v>
      </c>
      <c r="F42" s="22" t="s">
        <v>84</v>
      </c>
      <c r="G42" s="23">
        <f t="shared" si="0"/>
        <v>0</v>
      </c>
      <c r="H42" s="27"/>
      <c r="I42" s="27"/>
      <c r="J42" s="27"/>
      <c r="K42" s="27"/>
      <c r="L42" s="19"/>
      <c r="M42" s="24"/>
      <c r="P42" s="25">
        <v>120</v>
      </c>
    </row>
    <row r="43" spans="3:16" s="17" customFormat="1" ht="12.75" x14ac:dyDescent="0.2">
      <c r="C43" s="18"/>
      <c r="D43" s="20" t="s">
        <v>85</v>
      </c>
      <c r="E43" s="21" t="s">
        <v>86</v>
      </c>
      <c r="F43" s="22" t="s">
        <v>87</v>
      </c>
      <c r="G43" s="23">
        <f t="shared" si="0"/>
        <v>2822.739</v>
      </c>
      <c r="H43" s="27">
        <f>J28</f>
        <v>1302.53</v>
      </c>
      <c r="I43" s="27"/>
      <c r="J43" s="27">
        <f>K30</f>
        <v>1520.2090000000001</v>
      </c>
      <c r="K43" s="27"/>
      <c r="L43" s="19"/>
      <c r="M43" s="24"/>
      <c r="P43" s="25">
        <v>150</v>
      </c>
    </row>
    <row r="44" spans="3:16" s="17" customFormat="1" ht="12.75" x14ac:dyDescent="0.2">
      <c r="C44" s="18"/>
      <c r="D44" s="20" t="s">
        <v>88</v>
      </c>
      <c r="E44" s="21" t="s">
        <v>89</v>
      </c>
      <c r="F44" s="22" t="s">
        <v>90</v>
      </c>
      <c r="G44" s="23">
        <f t="shared" si="0"/>
        <v>0</v>
      </c>
      <c r="H44" s="27"/>
      <c r="I44" s="27"/>
      <c r="J44" s="27"/>
      <c r="K44" s="27"/>
      <c r="L44" s="19"/>
      <c r="M44" s="24"/>
      <c r="P44" s="25">
        <v>160</v>
      </c>
    </row>
    <row r="45" spans="3:16" s="17" customFormat="1" ht="12.75" x14ac:dyDescent="0.2">
      <c r="C45" s="18"/>
      <c r="D45" s="20" t="s">
        <v>91</v>
      </c>
      <c r="E45" s="21" t="s">
        <v>92</v>
      </c>
      <c r="F45" s="22" t="s">
        <v>93</v>
      </c>
      <c r="G45" s="23">
        <f t="shared" si="0"/>
        <v>0</v>
      </c>
      <c r="H45" s="27"/>
      <c r="I45" s="27"/>
      <c r="J45" s="27"/>
      <c r="K45" s="27"/>
      <c r="L45" s="19"/>
      <c r="M45" s="24"/>
      <c r="P45" s="25">
        <v>180</v>
      </c>
    </row>
    <row r="46" spans="3:16" s="17" customFormat="1" ht="12.75" x14ac:dyDescent="0.2">
      <c r="C46" s="18"/>
      <c r="D46" s="20" t="s">
        <v>94</v>
      </c>
      <c r="E46" s="21" t="s">
        <v>95</v>
      </c>
      <c r="F46" s="22" t="s">
        <v>96</v>
      </c>
      <c r="G46" s="23">
        <f t="shared" si="0"/>
        <v>36.238000000000056</v>
      </c>
      <c r="H46" s="27"/>
      <c r="I46" s="27"/>
      <c r="J46" s="27"/>
      <c r="K46" s="27">
        <f>G25-G36</f>
        <v>36.238000000000056</v>
      </c>
      <c r="L46" s="19"/>
      <c r="M46" s="24"/>
      <c r="P46" s="25">
        <v>190</v>
      </c>
    </row>
    <row r="47" spans="3:16" s="17" customFormat="1" ht="12.75" x14ac:dyDescent="0.2">
      <c r="C47" s="18"/>
      <c r="D47" s="20" t="s">
        <v>97</v>
      </c>
      <c r="E47" s="26" t="s">
        <v>98</v>
      </c>
      <c r="F47" s="22" t="s">
        <v>99</v>
      </c>
      <c r="G47" s="23">
        <f t="shared" si="0"/>
        <v>0</v>
      </c>
      <c r="H47" s="27"/>
      <c r="I47" s="27"/>
      <c r="J47" s="27">
        <v>0</v>
      </c>
      <c r="K47" s="27">
        <v>0</v>
      </c>
      <c r="L47" s="19"/>
      <c r="M47" s="24"/>
      <c r="P47" s="25">
        <v>200</v>
      </c>
    </row>
    <row r="48" spans="3:16" s="17" customFormat="1" ht="12.75" x14ac:dyDescent="0.2">
      <c r="C48" s="18"/>
      <c r="D48" s="20" t="s">
        <v>100</v>
      </c>
      <c r="E48" s="21" t="s">
        <v>101</v>
      </c>
      <c r="F48" s="22" t="s">
        <v>102</v>
      </c>
      <c r="G48" s="23">
        <f t="shared" si="0"/>
        <v>60.1</v>
      </c>
      <c r="H48" s="27"/>
      <c r="I48" s="27"/>
      <c r="J48" s="27"/>
      <c r="K48" s="27">
        <f>0.0601*1000</f>
        <v>60.1</v>
      </c>
      <c r="L48" s="19"/>
      <c r="M48" s="24"/>
      <c r="P48" s="36"/>
    </row>
    <row r="49" spans="3:16" s="17" customFormat="1" ht="22.5" x14ac:dyDescent="0.2">
      <c r="C49" s="18"/>
      <c r="D49" s="20" t="s">
        <v>103</v>
      </c>
      <c r="E49" s="46" t="s">
        <v>104</v>
      </c>
      <c r="F49" s="22" t="s">
        <v>105</v>
      </c>
      <c r="G49" s="23">
        <f t="shared" si="0"/>
        <v>-23.861999999999945</v>
      </c>
      <c r="H49" s="23">
        <f>H46-H48</f>
        <v>0</v>
      </c>
      <c r="I49" s="23">
        <f>I46-I48</f>
        <v>0</v>
      </c>
      <c r="J49" s="23">
        <f>J46-J48</f>
        <v>0</v>
      </c>
      <c r="K49" s="23">
        <f>K46-K48</f>
        <v>-23.861999999999945</v>
      </c>
      <c r="L49" s="19"/>
      <c r="M49" s="24"/>
      <c r="P49" s="36"/>
    </row>
    <row r="50" spans="3:16" s="17" customFormat="1" ht="12.75" x14ac:dyDescent="0.2">
      <c r="C50" s="18"/>
      <c r="D50" s="20" t="s">
        <v>106</v>
      </c>
      <c r="E50" s="21" t="s">
        <v>107</v>
      </c>
      <c r="F50" s="22" t="s">
        <v>108</v>
      </c>
      <c r="G50" s="23">
        <f t="shared" si="0"/>
        <v>0</v>
      </c>
      <c r="H50" s="23">
        <f>(H15+H27+H32)-(H33+H43+H44+H45+H46)</f>
        <v>0</v>
      </c>
      <c r="I50" s="23">
        <f>(I15+I27+I32)-(I33+I43+I44+I45+I46)</f>
        <v>0</v>
      </c>
      <c r="J50" s="23">
        <f>(J15+J27+J32)-(J33+J43+J44+J45+J46)</f>
        <v>0</v>
      </c>
      <c r="K50" s="23">
        <f>(K15+K27+K32)-(K33+K43+K44+K45+K46)</f>
        <v>0</v>
      </c>
      <c r="L50" s="19"/>
      <c r="M50" s="24"/>
      <c r="P50" s="25">
        <v>210</v>
      </c>
    </row>
    <row r="51" spans="3:16" s="17" customFormat="1" ht="12.75" x14ac:dyDescent="0.2">
      <c r="C51" s="18"/>
      <c r="D51" s="87" t="s">
        <v>109</v>
      </c>
      <c r="E51" s="88"/>
      <c r="F51" s="88"/>
      <c r="G51" s="88"/>
      <c r="H51" s="88"/>
      <c r="I51" s="88"/>
      <c r="J51" s="88"/>
      <c r="K51" s="89"/>
      <c r="L51" s="19"/>
      <c r="M51" s="24"/>
      <c r="P51" s="36"/>
    </row>
    <row r="52" spans="3:16" s="17" customFormat="1" ht="12.75" x14ac:dyDescent="0.2">
      <c r="C52" s="18"/>
      <c r="D52" s="20" t="s">
        <v>110</v>
      </c>
      <c r="E52" s="21" t="s">
        <v>24</v>
      </c>
      <c r="F52" s="22" t="s">
        <v>111</v>
      </c>
      <c r="G52" s="23">
        <f t="shared" si="0"/>
        <v>3.911</v>
      </c>
      <c r="H52" s="23">
        <f>H53+H54+H57+H60</f>
        <v>0.93863999999999992</v>
      </c>
      <c r="I52" s="23">
        <f>I53+I54+I57+I60</f>
        <v>0</v>
      </c>
      <c r="J52" s="23">
        <f>J53+J54+J57+J60</f>
        <v>2.9723600000000001</v>
      </c>
      <c r="K52" s="23">
        <f>K53+K54+K57+K60</f>
        <v>0</v>
      </c>
      <c r="L52" s="19"/>
      <c r="M52" s="24"/>
      <c r="P52" s="25">
        <v>300</v>
      </c>
    </row>
    <row r="53" spans="3:16" s="17" customFormat="1" ht="12.75" x14ac:dyDescent="0.2">
      <c r="C53" s="18"/>
      <c r="D53" s="20" t="s">
        <v>112</v>
      </c>
      <c r="E53" s="26" t="s">
        <v>26</v>
      </c>
      <c r="F53" s="22" t="s">
        <v>113</v>
      </c>
      <c r="G53" s="23">
        <f t="shared" si="0"/>
        <v>0</v>
      </c>
      <c r="H53" s="27"/>
      <c r="I53" s="27"/>
      <c r="J53" s="27"/>
      <c r="K53" s="27"/>
      <c r="L53" s="19"/>
      <c r="M53" s="24"/>
      <c r="P53" s="25">
        <v>310</v>
      </c>
    </row>
    <row r="54" spans="3:16" s="17" customFormat="1" ht="12.75" x14ac:dyDescent="0.2">
      <c r="C54" s="18"/>
      <c r="D54" s="20" t="s">
        <v>114</v>
      </c>
      <c r="E54" s="26" t="s">
        <v>28</v>
      </c>
      <c r="F54" s="22" t="s">
        <v>115</v>
      </c>
      <c r="G54" s="23">
        <f t="shared" si="0"/>
        <v>0</v>
      </c>
      <c r="H54" s="23">
        <f>SUM(H55:H56)</f>
        <v>0</v>
      </c>
      <c r="I54" s="23">
        <f>SUM(I55:I56)</f>
        <v>0</v>
      </c>
      <c r="J54" s="23">
        <f>SUM(J55:J56)</f>
        <v>0</v>
      </c>
      <c r="K54" s="23">
        <f>SUM(K55:K56)</f>
        <v>0</v>
      </c>
      <c r="L54" s="19"/>
      <c r="M54" s="24"/>
      <c r="P54" s="25">
        <v>320</v>
      </c>
    </row>
    <row r="55" spans="3:16" s="17" customFormat="1" ht="12.75" x14ac:dyDescent="0.2">
      <c r="C55" s="18"/>
      <c r="D55" s="28" t="s">
        <v>116</v>
      </c>
      <c r="E55" s="29"/>
      <c r="F55" s="30" t="s">
        <v>115</v>
      </c>
      <c r="G55" s="31"/>
      <c r="H55" s="31"/>
      <c r="I55" s="31"/>
      <c r="J55" s="31"/>
      <c r="K55" s="31"/>
      <c r="L55" s="19"/>
      <c r="M55" s="24"/>
      <c r="P55" s="25"/>
    </row>
    <row r="56" spans="3:16" s="17" customFormat="1" ht="12.75" x14ac:dyDescent="0.2">
      <c r="C56" s="18"/>
      <c r="D56" s="32"/>
      <c r="E56" s="33" t="s">
        <v>31</v>
      </c>
      <c r="F56" s="34"/>
      <c r="G56" s="34"/>
      <c r="H56" s="34"/>
      <c r="I56" s="34"/>
      <c r="J56" s="34"/>
      <c r="K56" s="35"/>
      <c r="L56" s="19"/>
      <c r="M56" s="24"/>
      <c r="P56" s="25"/>
    </row>
    <row r="57" spans="3:16" s="17" customFormat="1" ht="12.75" x14ac:dyDescent="0.2">
      <c r="C57" s="18"/>
      <c r="D57" s="20" t="s">
        <v>117</v>
      </c>
      <c r="E57" s="26" t="s">
        <v>33</v>
      </c>
      <c r="F57" s="22" t="s">
        <v>118</v>
      </c>
      <c r="G57" s="23">
        <f t="shared" si="0"/>
        <v>0</v>
      </c>
      <c r="H57" s="23">
        <f>SUM(H58:H59)</f>
        <v>0</v>
      </c>
      <c r="I57" s="23">
        <f>SUM(I58:I59)</f>
        <v>0</v>
      </c>
      <c r="J57" s="23">
        <f>SUM(J58:J59)</f>
        <v>0</v>
      </c>
      <c r="K57" s="23">
        <f>SUM(K58:K59)</f>
        <v>0</v>
      </c>
      <c r="L57" s="19"/>
      <c r="M57" s="24"/>
      <c r="P57" s="25"/>
    </row>
    <row r="58" spans="3:16" s="17" customFormat="1" ht="12.75" x14ac:dyDescent="0.2">
      <c r="C58" s="18"/>
      <c r="D58" s="28" t="s">
        <v>119</v>
      </c>
      <c r="E58" s="29"/>
      <c r="F58" s="30" t="s">
        <v>118</v>
      </c>
      <c r="G58" s="31"/>
      <c r="H58" s="31"/>
      <c r="I58" s="31"/>
      <c r="J58" s="31"/>
      <c r="K58" s="31"/>
      <c r="L58" s="19"/>
      <c r="M58" s="24"/>
      <c r="P58" s="25"/>
    </row>
    <row r="59" spans="3:16" s="17" customFormat="1" ht="12.75" x14ac:dyDescent="0.2">
      <c r="C59" s="18"/>
      <c r="D59" s="32"/>
      <c r="E59" s="33" t="s">
        <v>31</v>
      </c>
      <c r="F59" s="34"/>
      <c r="G59" s="34"/>
      <c r="H59" s="34"/>
      <c r="I59" s="34"/>
      <c r="J59" s="34"/>
      <c r="K59" s="35"/>
      <c r="L59" s="19"/>
      <c r="M59" s="24"/>
      <c r="P59" s="25"/>
    </row>
    <row r="60" spans="3:16" s="17" customFormat="1" ht="12.75" x14ac:dyDescent="0.2">
      <c r="C60" s="18"/>
      <c r="D60" s="20" t="s">
        <v>120</v>
      </c>
      <c r="E60" s="26" t="s">
        <v>37</v>
      </c>
      <c r="F60" s="22" t="s">
        <v>121</v>
      </c>
      <c r="G60" s="23">
        <f t="shared" si="0"/>
        <v>3.911</v>
      </c>
      <c r="H60" s="23">
        <f>SUM(H61:H63)</f>
        <v>0.93863999999999992</v>
      </c>
      <c r="I60" s="23">
        <f>SUM(I61:I63)</f>
        <v>0</v>
      </c>
      <c r="J60" s="23">
        <f>SUM(J61:J63)</f>
        <v>2.9723600000000001</v>
      </c>
      <c r="K60" s="23">
        <f>SUM(K61:K63)</f>
        <v>0</v>
      </c>
      <c r="L60" s="19"/>
      <c r="M60" s="24"/>
      <c r="P60" s="25">
        <v>330</v>
      </c>
    </row>
    <row r="61" spans="3:16" s="17" customFormat="1" ht="12.75" x14ac:dyDescent="0.2">
      <c r="C61" s="18"/>
      <c r="D61" s="28" t="s">
        <v>122</v>
      </c>
      <c r="E61" s="29"/>
      <c r="F61" s="30" t="s">
        <v>121</v>
      </c>
      <c r="G61" s="31"/>
      <c r="H61" s="31"/>
      <c r="I61" s="31"/>
      <c r="J61" s="31"/>
      <c r="K61" s="31"/>
      <c r="L61" s="19"/>
      <c r="M61" s="24"/>
      <c r="P61" s="25"/>
    </row>
    <row r="62" spans="3:16" s="17" customFormat="1" ht="15" x14ac:dyDescent="0.25">
      <c r="C62" s="37" t="s">
        <v>40</v>
      </c>
      <c r="D62" s="38" t="s">
        <v>123</v>
      </c>
      <c r="E62" s="39" t="s">
        <v>42</v>
      </c>
      <c r="F62" s="40">
        <v>1461</v>
      </c>
      <c r="G62" s="41">
        <f>SUM(H62:K62)</f>
        <v>3.911</v>
      </c>
      <c r="H62" s="52">
        <f>3.911*0.24</f>
        <v>0.93863999999999992</v>
      </c>
      <c r="I62" s="52">
        <v>0</v>
      </c>
      <c r="J62" s="52">
        <f>3.911-H62</f>
        <v>2.9723600000000001</v>
      </c>
      <c r="K62" s="53">
        <v>0</v>
      </c>
      <c r="L62" s="19"/>
      <c r="M62" s="43" t="s">
        <v>43</v>
      </c>
      <c r="N62" s="44" t="s">
        <v>44</v>
      </c>
      <c r="O62" s="44" t="s">
        <v>45</v>
      </c>
    </row>
    <row r="63" spans="3:16" s="17" customFormat="1" ht="12.75" x14ac:dyDescent="0.2">
      <c r="C63" s="18"/>
      <c r="D63" s="32"/>
      <c r="E63" s="33" t="s">
        <v>31</v>
      </c>
      <c r="F63" s="34"/>
      <c r="G63" s="34"/>
      <c r="H63" s="34"/>
      <c r="I63" s="34"/>
      <c r="J63" s="34"/>
      <c r="K63" s="35"/>
      <c r="L63" s="19"/>
      <c r="M63" s="24"/>
      <c r="P63" s="25"/>
    </row>
    <row r="64" spans="3:16" s="17" customFormat="1" ht="12.75" x14ac:dyDescent="0.2">
      <c r="C64" s="18"/>
      <c r="D64" s="20" t="s">
        <v>124</v>
      </c>
      <c r="E64" s="21" t="s">
        <v>47</v>
      </c>
      <c r="F64" s="22" t="s">
        <v>125</v>
      </c>
      <c r="G64" s="23">
        <f t="shared" si="0"/>
        <v>3.9422959999999998</v>
      </c>
      <c r="H64" s="23">
        <f>H66+H67+H68</f>
        <v>0</v>
      </c>
      <c r="I64" s="23">
        <f>I65+I67+I68</f>
        <v>0</v>
      </c>
      <c r="J64" s="23">
        <f>J65+J66+J68</f>
        <v>0.93863999999999992</v>
      </c>
      <c r="K64" s="23">
        <f>K65+K66+K67</f>
        <v>3.0036559999999999</v>
      </c>
      <c r="L64" s="19"/>
      <c r="M64" s="24"/>
      <c r="P64" s="25">
        <v>340</v>
      </c>
    </row>
    <row r="65" spans="3:16" s="17" customFormat="1" ht="12.75" x14ac:dyDescent="0.2">
      <c r="C65" s="18"/>
      <c r="D65" s="20" t="s">
        <v>126</v>
      </c>
      <c r="E65" s="26" t="s">
        <v>18</v>
      </c>
      <c r="F65" s="22" t="s">
        <v>127</v>
      </c>
      <c r="G65" s="23">
        <f t="shared" si="0"/>
        <v>0.93863999999999992</v>
      </c>
      <c r="H65" s="45"/>
      <c r="I65" s="27"/>
      <c r="J65" s="27">
        <f>H62</f>
        <v>0.93863999999999992</v>
      </c>
      <c r="K65" s="27"/>
      <c r="L65" s="19"/>
      <c r="M65" s="24"/>
      <c r="P65" s="25">
        <v>350</v>
      </c>
    </row>
    <row r="66" spans="3:16" s="17" customFormat="1" ht="12.75" x14ac:dyDescent="0.2">
      <c r="C66" s="18"/>
      <c r="D66" s="20" t="s">
        <v>128</v>
      </c>
      <c r="E66" s="26" t="s">
        <v>19</v>
      </c>
      <c r="F66" s="22" t="s">
        <v>129</v>
      </c>
      <c r="G66" s="23">
        <f t="shared" si="0"/>
        <v>0</v>
      </c>
      <c r="H66" s="27"/>
      <c r="I66" s="54"/>
      <c r="J66" s="27"/>
      <c r="K66" s="27"/>
      <c r="L66" s="19"/>
      <c r="M66" s="24"/>
      <c r="P66" s="25">
        <v>360</v>
      </c>
    </row>
    <row r="67" spans="3:16" s="17" customFormat="1" ht="12.75" x14ac:dyDescent="0.2">
      <c r="C67" s="18"/>
      <c r="D67" s="20" t="s">
        <v>130</v>
      </c>
      <c r="E67" s="26" t="s">
        <v>20</v>
      </c>
      <c r="F67" s="22" t="s">
        <v>131</v>
      </c>
      <c r="G67" s="23">
        <f t="shared" si="0"/>
        <v>3.0036559999999999</v>
      </c>
      <c r="H67" s="27"/>
      <c r="I67" s="27"/>
      <c r="J67" s="45"/>
      <c r="K67" s="27">
        <f>K73+K83</f>
        <v>3.0036559999999999</v>
      </c>
      <c r="L67" s="19"/>
      <c r="M67" s="24"/>
      <c r="P67" s="25">
        <v>370</v>
      </c>
    </row>
    <row r="68" spans="3:16" s="17" customFormat="1" ht="12.75" x14ac:dyDescent="0.2">
      <c r="C68" s="18"/>
      <c r="D68" s="20" t="s">
        <v>132</v>
      </c>
      <c r="E68" s="26" t="s">
        <v>56</v>
      </c>
      <c r="F68" s="22" t="s">
        <v>133</v>
      </c>
      <c r="G68" s="23">
        <f t="shared" si="0"/>
        <v>0</v>
      </c>
      <c r="H68" s="27"/>
      <c r="I68" s="27"/>
      <c r="J68" s="27"/>
      <c r="K68" s="45"/>
      <c r="L68" s="19"/>
      <c r="M68" s="24"/>
      <c r="P68" s="25">
        <v>380</v>
      </c>
    </row>
    <row r="69" spans="3:16" s="17" customFormat="1" ht="12.75" x14ac:dyDescent="0.2">
      <c r="C69" s="18"/>
      <c r="D69" s="20" t="s">
        <v>134</v>
      </c>
      <c r="E69" s="46" t="s">
        <v>59</v>
      </c>
      <c r="F69" s="22" t="s">
        <v>135</v>
      </c>
      <c r="G69" s="23">
        <f t="shared" si="0"/>
        <v>0</v>
      </c>
      <c r="H69" s="27"/>
      <c r="I69" s="27"/>
      <c r="J69" s="27"/>
      <c r="K69" s="27"/>
      <c r="L69" s="19"/>
      <c r="M69" s="24"/>
      <c r="P69" s="25"/>
    </row>
    <row r="70" spans="3:16" s="17" customFormat="1" ht="12.75" x14ac:dyDescent="0.2">
      <c r="C70" s="18"/>
      <c r="D70" s="20" t="s">
        <v>136</v>
      </c>
      <c r="E70" s="21" t="s">
        <v>62</v>
      </c>
      <c r="F70" s="47" t="s">
        <v>137</v>
      </c>
      <c r="G70" s="23">
        <f t="shared" si="0"/>
        <v>3.7806000000000002</v>
      </c>
      <c r="H70" s="23">
        <f>H71+H73+H76+H79</f>
        <v>0</v>
      </c>
      <c r="I70" s="23">
        <f>I71+I73+I76+I79</f>
        <v>0</v>
      </c>
      <c r="J70" s="23">
        <f>J71+J73+J76+J79</f>
        <v>0.90734400000000004</v>
      </c>
      <c r="K70" s="23">
        <f>K71+K73+K76+K79</f>
        <v>2.873256</v>
      </c>
      <c r="L70" s="19"/>
      <c r="M70" s="24"/>
      <c r="P70" s="25">
        <v>390</v>
      </c>
    </row>
    <row r="71" spans="3:16" s="17" customFormat="1" ht="22.5" x14ac:dyDescent="0.2">
      <c r="C71" s="18"/>
      <c r="D71" s="20" t="s">
        <v>138</v>
      </c>
      <c r="E71" s="26" t="s">
        <v>65</v>
      </c>
      <c r="F71" s="22" t="s">
        <v>139</v>
      </c>
      <c r="G71" s="23">
        <f t="shared" si="0"/>
        <v>0</v>
      </c>
      <c r="H71" s="27"/>
      <c r="I71" s="27"/>
      <c r="J71" s="27"/>
      <c r="K71" s="27"/>
      <c r="L71" s="19"/>
      <c r="M71" s="24"/>
      <c r="P71" s="25"/>
    </row>
    <row r="72" spans="3:16" s="17" customFormat="1" ht="12.75" x14ac:dyDescent="0.2">
      <c r="C72" s="18"/>
      <c r="D72" s="20" t="s">
        <v>140</v>
      </c>
      <c r="E72" s="48" t="s">
        <v>68</v>
      </c>
      <c r="F72" s="22" t="s">
        <v>141</v>
      </c>
      <c r="G72" s="23">
        <f t="shared" si="0"/>
        <v>0</v>
      </c>
      <c r="H72" s="27"/>
      <c r="I72" s="27"/>
      <c r="J72" s="27"/>
      <c r="K72" s="27"/>
      <c r="L72" s="19"/>
      <c r="M72" s="24"/>
      <c r="P72" s="25"/>
    </row>
    <row r="73" spans="3:16" s="17" customFormat="1" ht="12.75" x14ac:dyDescent="0.2">
      <c r="C73" s="18"/>
      <c r="D73" s="20" t="s">
        <v>142</v>
      </c>
      <c r="E73" s="26" t="s">
        <v>71</v>
      </c>
      <c r="F73" s="22" t="s">
        <v>143</v>
      </c>
      <c r="G73" s="23">
        <f t="shared" si="0"/>
        <v>3.7806000000000002</v>
      </c>
      <c r="H73" s="27">
        <v>0</v>
      </c>
      <c r="I73" s="27">
        <v>0</v>
      </c>
      <c r="J73" s="27">
        <f>3.7806*0.24</f>
        <v>0.90734400000000004</v>
      </c>
      <c r="K73" s="27">
        <f>3.7806-J73</f>
        <v>2.873256</v>
      </c>
      <c r="L73" s="19"/>
      <c r="M73" s="24"/>
      <c r="P73" s="25"/>
    </row>
    <row r="74" spans="3:16" s="17" customFormat="1" ht="12.75" x14ac:dyDescent="0.2">
      <c r="C74" s="18"/>
      <c r="D74" s="20" t="s">
        <v>144</v>
      </c>
      <c r="E74" s="48" t="s">
        <v>74</v>
      </c>
      <c r="F74" s="22" t="s">
        <v>145</v>
      </c>
      <c r="G74" s="23">
        <f t="shared" si="0"/>
        <v>0</v>
      </c>
      <c r="H74" s="27"/>
      <c r="I74" s="27"/>
      <c r="J74" s="27"/>
      <c r="K74" s="27"/>
      <c r="L74" s="19"/>
      <c r="M74" s="24"/>
      <c r="P74" s="25"/>
    </row>
    <row r="75" spans="3:16" s="17" customFormat="1" ht="12.75" x14ac:dyDescent="0.2">
      <c r="C75" s="18"/>
      <c r="D75" s="20" t="s">
        <v>146</v>
      </c>
      <c r="E75" s="49" t="s">
        <v>68</v>
      </c>
      <c r="F75" s="22" t="s">
        <v>147</v>
      </c>
      <c r="G75" s="23">
        <f t="shared" si="0"/>
        <v>0</v>
      </c>
      <c r="H75" s="27"/>
      <c r="I75" s="27"/>
      <c r="J75" s="27"/>
      <c r="K75" s="27"/>
      <c r="L75" s="19"/>
      <c r="M75" s="24"/>
      <c r="P75" s="25"/>
    </row>
    <row r="76" spans="3:16" s="17" customFormat="1" ht="12.75" x14ac:dyDescent="0.2">
      <c r="C76" s="18"/>
      <c r="D76" s="20" t="s">
        <v>148</v>
      </c>
      <c r="E76" s="26" t="s">
        <v>79</v>
      </c>
      <c r="F76" s="22" t="s">
        <v>149</v>
      </c>
      <c r="G76" s="23">
        <f t="shared" si="0"/>
        <v>0</v>
      </c>
      <c r="H76" s="23">
        <f>SUM(H77:H78)</f>
        <v>0</v>
      </c>
      <c r="I76" s="23">
        <f>SUM(I77:I78)</f>
        <v>0</v>
      </c>
      <c r="J76" s="23">
        <f>SUM(J77:J78)</f>
        <v>0</v>
      </c>
      <c r="K76" s="23">
        <f>SUM(K77:K78)</f>
        <v>0</v>
      </c>
      <c r="L76" s="19"/>
      <c r="M76" s="24"/>
      <c r="P76" s="25"/>
    </row>
    <row r="77" spans="3:16" s="17" customFormat="1" ht="12.75" x14ac:dyDescent="0.2">
      <c r="C77" s="18"/>
      <c r="D77" s="28" t="s">
        <v>150</v>
      </c>
      <c r="E77" s="29"/>
      <c r="F77" s="30" t="s">
        <v>149</v>
      </c>
      <c r="G77" s="31"/>
      <c r="H77" s="31"/>
      <c r="I77" s="31"/>
      <c r="J77" s="31"/>
      <c r="K77" s="31"/>
      <c r="L77" s="19"/>
      <c r="M77" s="24"/>
      <c r="P77" s="25"/>
    </row>
    <row r="78" spans="3:16" s="17" customFormat="1" ht="12.75" x14ac:dyDescent="0.2">
      <c r="C78" s="18"/>
      <c r="D78" s="32"/>
      <c r="E78" s="33" t="s">
        <v>31</v>
      </c>
      <c r="F78" s="34"/>
      <c r="G78" s="34"/>
      <c r="H78" s="34"/>
      <c r="I78" s="34"/>
      <c r="J78" s="34"/>
      <c r="K78" s="35"/>
      <c r="L78" s="19"/>
      <c r="M78" s="24"/>
      <c r="P78" s="25"/>
    </row>
    <row r="79" spans="3:16" s="17" customFormat="1" ht="12.75" x14ac:dyDescent="0.2">
      <c r="C79" s="18"/>
      <c r="D79" s="20" t="s">
        <v>151</v>
      </c>
      <c r="E79" s="51" t="s">
        <v>83</v>
      </c>
      <c r="F79" s="22" t="s">
        <v>152</v>
      </c>
      <c r="G79" s="23">
        <f t="shared" si="0"/>
        <v>0</v>
      </c>
      <c r="H79" s="27"/>
      <c r="I79" s="27"/>
      <c r="J79" s="27"/>
      <c r="K79" s="27"/>
      <c r="L79" s="19"/>
      <c r="M79" s="24"/>
      <c r="P79" s="25">
        <v>410</v>
      </c>
    </row>
    <row r="80" spans="3:16" s="17" customFormat="1" ht="12.75" x14ac:dyDescent="0.2">
      <c r="C80" s="18"/>
      <c r="D80" s="20" t="s">
        <v>153</v>
      </c>
      <c r="E80" s="21" t="s">
        <v>86</v>
      </c>
      <c r="F80" s="22" t="s">
        <v>154</v>
      </c>
      <c r="G80" s="23">
        <f t="shared" si="0"/>
        <v>3.9422959999999998</v>
      </c>
      <c r="H80" s="27">
        <f>H62</f>
        <v>0.93863999999999992</v>
      </c>
      <c r="I80" s="27"/>
      <c r="J80" s="27">
        <f>K67</f>
        <v>3.0036559999999999</v>
      </c>
      <c r="K80" s="27"/>
      <c r="L80" s="19"/>
      <c r="M80" s="24"/>
      <c r="P80" s="25">
        <v>440</v>
      </c>
    </row>
    <row r="81" spans="3:16" s="17" customFormat="1" ht="12.75" x14ac:dyDescent="0.2">
      <c r="C81" s="18"/>
      <c r="D81" s="20" t="s">
        <v>155</v>
      </c>
      <c r="E81" s="21" t="s">
        <v>89</v>
      </c>
      <c r="F81" s="22" t="s">
        <v>156</v>
      </c>
      <c r="G81" s="23">
        <f t="shared" si="0"/>
        <v>0</v>
      </c>
      <c r="H81" s="27"/>
      <c r="I81" s="27"/>
      <c r="J81" s="27"/>
      <c r="K81" s="27"/>
      <c r="L81" s="19"/>
      <c r="M81" s="24"/>
      <c r="P81" s="25">
        <v>450</v>
      </c>
    </row>
    <row r="82" spans="3:16" s="17" customFormat="1" ht="12.75" x14ac:dyDescent="0.2">
      <c r="C82" s="18"/>
      <c r="D82" s="20" t="s">
        <v>157</v>
      </c>
      <c r="E82" s="21" t="s">
        <v>92</v>
      </c>
      <c r="F82" s="22" t="s">
        <v>158</v>
      </c>
      <c r="G82" s="23">
        <f t="shared" si="0"/>
        <v>0</v>
      </c>
      <c r="H82" s="27"/>
      <c r="I82" s="27"/>
      <c r="J82" s="27"/>
      <c r="K82" s="27"/>
      <c r="L82" s="19"/>
      <c r="M82" s="24"/>
      <c r="P82" s="25">
        <v>470</v>
      </c>
    </row>
    <row r="83" spans="3:16" s="17" customFormat="1" ht="12.75" x14ac:dyDescent="0.2">
      <c r="C83" s="18"/>
      <c r="D83" s="20" t="s">
        <v>159</v>
      </c>
      <c r="E83" s="21" t="s">
        <v>95</v>
      </c>
      <c r="F83" s="22" t="s">
        <v>160</v>
      </c>
      <c r="G83" s="23">
        <f t="shared" si="0"/>
        <v>0.13039999999999985</v>
      </c>
      <c r="H83" s="27"/>
      <c r="I83" s="27"/>
      <c r="J83" s="27"/>
      <c r="K83" s="27">
        <f>G62-G73</f>
        <v>0.13039999999999985</v>
      </c>
      <c r="L83" s="19"/>
      <c r="M83" s="24"/>
      <c r="P83" s="25">
        <v>480</v>
      </c>
    </row>
    <row r="84" spans="3:16" s="17" customFormat="1" ht="12.75" x14ac:dyDescent="0.2">
      <c r="C84" s="18"/>
      <c r="D84" s="20" t="s">
        <v>161</v>
      </c>
      <c r="E84" s="26" t="s">
        <v>162</v>
      </c>
      <c r="F84" s="22" t="s">
        <v>163</v>
      </c>
      <c r="G84" s="23">
        <f t="shared" si="0"/>
        <v>0</v>
      </c>
      <c r="H84" s="27"/>
      <c r="I84" s="27"/>
      <c r="J84" s="27"/>
      <c r="K84" s="27"/>
      <c r="L84" s="19"/>
      <c r="M84" s="24"/>
      <c r="P84" s="25">
        <v>490</v>
      </c>
    </row>
    <row r="85" spans="3:16" s="17" customFormat="1" ht="12.75" x14ac:dyDescent="0.2">
      <c r="C85" s="18"/>
      <c r="D85" s="20" t="s">
        <v>164</v>
      </c>
      <c r="E85" s="21" t="s">
        <v>101</v>
      </c>
      <c r="F85" s="22" t="s">
        <v>165</v>
      </c>
      <c r="G85" s="23">
        <f t="shared" si="0"/>
        <v>0.13039999999999999</v>
      </c>
      <c r="H85" s="27"/>
      <c r="I85" s="27"/>
      <c r="J85" s="27"/>
      <c r="K85" s="27">
        <v>0.13039999999999999</v>
      </c>
      <c r="L85" s="19"/>
      <c r="M85" s="24"/>
      <c r="P85" s="25"/>
    </row>
    <row r="86" spans="3:16" s="17" customFormat="1" ht="22.5" x14ac:dyDescent="0.2">
      <c r="C86" s="18"/>
      <c r="D86" s="20" t="s">
        <v>166</v>
      </c>
      <c r="E86" s="46" t="s">
        <v>104</v>
      </c>
      <c r="F86" s="22" t="s">
        <v>167</v>
      </c>
      <c r="G86" s="23">
        <f t="shared" si="0"/>
        <v>0</v>
      </c>
      <c r="H86" s="23">
        <f>H83-H85</f>
        <v>0</v>
      </c>
      <c r="I86" s="23">
        <f>I83-I85</f>
        <v>0</v>
      </c>
      <c r="J86" s="23">
        <f>J83-J85</f>
        <v>0</v>
      </c>
      <c r="K86" s="23">
        <f>K83-K85</f>
        <v>0</v>
      </c>
      <c r="L86" s="19"/>
      <c r="M86" s="24"/>
      <c r="P86" s="25"/>
    </row>
    <row r="87" spans="3:16" s="17" customFormat="1" ht="12.75" x14ac:dyDescent="0.2">
      <c r="C87" s="18"/>
      <c r="D87" s="20" t="s">
        <v>168</v>
      </c>
      <c r="E87" s="21" t="s">
        <v>107</v>
      </c>
      <c r="F87" s="22" t="s">
        <v>169</v>
      </c>
      <c r="G87" s="23">
        <f t="shared" si="0"/>
        <v>0</v>
      </c>
      <c r="H87" s="23">
        <f>(H52+H64+H69)-(H70+H80+H81+H82+H83)</f>
        <v>0</v>
      </c>
      <c r="I87" s="23">
        <f>(I52+I64+I69)-(I70+I80+I81+I82+I83)</f>
        <v>0</v>
      </c>
      <c r="J87" s="23">
        <f>(J52+J64+J69)-(J70+J80+J81+J82+J83)</f>
        <v>0</v>
      </c>
      <c r="K87" s="23">
        <f>(K52+K64+K69)-(K70+K80+K81+K82+K83)</f>
        <v>0</v>
      </c>
      <c r="L87" s="19"/>
      <c r="M87" s="24"/>
      <c r="P87" s="25">
        <v>500</v>
      </c>
    </row>
    <row r="88" spans="3:16" s="17" customFormat="1" ht="12.75" x14ac:dyDescent="0.2">
      <c r="C88" s="18"/>
      <c r="D88" s="87" t="s">
        <v>170</v>
      </c>
      <c r="E88" s="88"/>
      <c r="F88" s="88"/>
      <c r="G88" s="88"/>
      <c r="H88" s="88"/>
      <c r="I88" s="88"/>
      <c r="J88" s="88"/>
      <c r="K88" s="89"/>
      <c r="L88" s="19"/>
      <c r="M88" s="24"/>
      <c r="P88" s="36"/>
    </row>
    <row r="89" spans="3:16" s="17" customFormat="1" ht="12.75" x14ac:dyDescent="0.2">
      <c r="C89" s="18"/>
      <c r="D89" s="20" t="s">
        <v>171</v>
      </c>
      <c r="E89" s="21" t="s">
        <v>172</v>
      </c>
      <c r="F89" s="22" t="s">
        <v>173</v>
      </c>
      <c r="G89" s="23">
        <f t="shared" si="0"/>
        <v>3.7806000000000002</v>
      </c>
      <c r="H89" s="27"/>
      <c r="I89" s="27"/>
      <c r="J89" s="42">
        <f>J73</f>
        <v>0.90734400000000004</v>
      </c>
      <c r="K89" s="42">
        <f>K73</f>
        <v>2.873256</v>
      </c>
      <c r="L89" s="19"/>
      <c r="M89" s="24"/>
      <c r="P89" s="25">
        <v>600</v>
      </c>
    </row>
    <row r="90" spans="3:16" s="17" customFormat="1" ht="12.75" x14ac:dyDescent="0.2">
      <c r="C90" s="18"/>
      <c r="D90" s="20" t="s">
        <v>174</v>
      </c>
      <c r="E90" s="21" t="s">
        <v>175</v>
      </c>
      <c r="F90" s="22" t="s">
        <v>176</v>
      </c>
      <c r="G90" s="23">
        <f t="shared" si="0"/>
        <v>0</v>
      </c>
      <c r="H90" s="27"/>
      <c r="I90" s="27"/>
      <c r="J90" s="27"/>
      <c r="K90" s="27"/>
      <c r="L90" s="19"/>
      <c r="M90" s="24"/>
      <c r="P90" s="25">
        <v>610</v>
      </c>
    </row>
    <row r="91" spans="3:16" s="17" customFormat="1" ht="12.75" x14ac:dyDescent="0.2">
      <c r="C91" s="18"/>
      <c r="D91" s="20" t="s">
        <v>177</v>
      </c>
      <c r="E91" s="21" t="s">
        <v>178</v>
      </c>
      <c r="F91" s="22" t="s">
        <v>179</v>
      </c>
      <c r="G91" s="23">
        <f t="shared" si="0"/>
        <v>0</v>
      </c>
      <c r="H91" s="27"/>
      <c r="I91" s="27"/>
      <c r="J91" s="27"/>
      <c r="K91" s="27"/>
      <c r="L91" s="19"/>
      <c r="M91" s="24"/>
      <c r="P91" s="25">
        <v>620</v>
      </c>
    </row>
    <row r="92" spans="3:16" s="17" customFormat="1" ht="12.75" x14ac:dyDescent="0.2">
      <c r="C92" s="18"/>
      <c r="D92" s="87" t="s">
        <v>180</v>
      </c>
      <c r="E92" s="88"/>
      <c r="F92" s="88"/>
      <c r="G92" s="88"/>
      <c r="H92" s="88"/>
      <c r="I92" s="88"/>
      <c r="J92" s="88"/>
      <c r="K92" s="89"/>
      <c r="L92" s="19"/>
      <c r="M92" s="24"/>
      <c r="P92" s="36"/>
    </row>
    <row r="93" spans="3:16" s="17" customFormat="1" ht="12.75" x14ac:dyDescent="0.2">
      <c r="C93" s="18"/>
      <c r="D93" s="20" t="s">
        <v>181</v>
      </c>
      <c r="E93" s="21" t="s">
        <v>182</v>
      </c>
      <c r="F93" s="22" t="s">
        <v>183</v>
      </c>
      <c r="G93" s="23">
        <f t="shared" si="0"/>
        <v>0</v>
      </c>
      <c r="H93" s="23">
        <f>SUM(H94:H95)</f>
        <v>0</v>
      </c>
      <c r="I93" s="23">
        <f>SUM(I94:I95)</f>
        <v>0</v>
      </c>
      <c r="J93" s="23">
        <f>SUM(J94:J95)</f>
        <v>0</v>
      </c>
      <c r="K93" s="23">
        <f>SUM(K94:K95)</f>
        <v>0</v>
      </c>
      <c r="L93" s="19"/>
      <c r="M93" s="24"/>
      <c r="P93" s="25">
        <v>700</v>
      </c>
    </row>
    <row r="94" spans="3:16" ht="12.75" x14ac:dyDescent="0.2">
      <c r="C94" s="6"/>
      <c r="D94" s="55" t="s">
        <v>184</v>
      </c>
      <c r="E94" s="26" t="s">
        <v>185</v>
      </c>
      <c r="F94" s="22" t="s">
        <v>186</v>
      </c>
      <c r="G94" s="23">
        <f t="shared" si="0"/>
        <v>0</v>
      </c>
      <c r="H94" s="56"/>
      <c r="I94" s="56"/>
      <c r="J94" s="56"/>
      <c r="K94" s="56"/>
      <c r="L94" s="13"/>
      <c r="M94" s="24"/>
      <c r="P94" s="25">
        <v>710</v>
      </c>
    </row>
    <row r="95" spans="3:16" ht="12.75" x14ac:dyDescent="0.2">
      <c r="C95" s="6"/>
      <c r="D95" s="55" t="s">
        <v>187</v>
      </c>
      <c r="E95" s="26" t="s">
        <v>188</v>
      </c>
      <c r="F95" s="22" t="s">
        <v>189</v>
      </c>
      <c r="G95" s="23">
        <f t="shared" si="0"/>
        <v>0</v>
      </c>
      <c r="H95" s="57">
        <f>H98</f>
        <v>0</v>
      </c>
      <c r="I95" s="57">
        <f>I98</f>
        <v>0</v>
      </c>
      <c r="J95" s="57">
        <f>J98</f>
        <v>0</v>
      </c>
      <c r="K95" s="57">
        <f>K98</f>
        <v>0</v>
      </c>
      <c r="L95" s="13"/>
      <c r="M95" s="24"/>
      <c r="P95" s="25">
        <v>720</v>
      </c>
    </row>
    <row r="96" spans="3:16" ht="12.75" x14ac:dyDescent="0.2">
      <c r="C96" s="6"/>
      <c r="D96" s="55" t="s">
        <v>190</v>
      </c>
      <c r="E96" s="48" t="s">
        <v>191</v>
      </c>
      <c r="F96" s="22" t="s">
        <v>192</v>
      </c>
      <c r="G96" s="23">
        <f t="shared" si="0"/>
        <v>0</v>
      </c>
      <c r="H96" s="56"/>
      <c r="I96" s="56"/>
      <c r="J96" s="56"/>
      <c r="K96" s="56"/>
      <c r="L96" s="13"/>
      <c r="M96" s="24"/>
      <c r="P96" s="25">
        <v>730</v>
      </c>
    </row>
    <row r="97" spans="3:16" ht="12.75" x14ac:dyDescent="0.2">
      <c r="C97" s="6"/>
      <c r="D97" s="55" t="s">
        <v>193</v>
      </c>
      <c r="E97" s="49" t="s">
        <v>194</v>
      </c>
      <c r="F97" s="22" t="s">
        <v>195</v>
      </c>
      <c r="G97" s="23">
        <f t="shared" si="0"/>
        <v>0</v>
      </c>
      <c r="H97" s="56"/>
      <c r="I97" s="56"/>
      <c r="J97" s="56"/>
      <c r="K97" s="56"/>
      <c r="L97" s="13"/>
      <c r="M97" s="24"/>
      <c r="P97" s="25"/>
    </row>
    <row r="98" spans="3:16" ht="12.75" x14ac:dyDescent="0.2">
      <c r="C98" s="6"/>
      <c r="D98" s="55" t="s">
        <v>196</v>
      </c>
      <c r="E98" s="48" t="s">
        <v>197</v>
      </c>
      <c r="F98" s="22" t="s">
        <v>198</v>
      </c>
      <c r="G98" s="23">
        <f t="shared" si="0"/>
        <v>0</v>
      </c>
      <c r="H98" s="56"/>
      <c r="I98" s="56"/>
      <c r="J98" s="56"/>
      <c r="K98" s="56"/>
      <c r="L98" s="13"/>
      <c r="M98" s="24"/>
      <c r="P98" s="25">
        <v>740</v>
      </c>
    </row>
    <row r="99" spans="3:16" ht="12.75" x14ac:dyDescent="0.2">
      <c r="C99" s="6"/>
      <c r="D99" s="55" t="s">
        <v>199</v>
      </c>
      <c r="E99" s="21" t="s">
        <v>200</v>
      </c>
      <c r="F99" s="22" t="s">
        <v>201</v>
      </c>
      <c r="G99" s="23">
        <f t="shared" si="0"/>
        <v>0</v>
      </c>
      <c r="H99" s="57">
        <f>H100+H116</f>
        <v>0</v>
      </c>
      <c r="I99" s="57">
        <f>I100+I116</f>
        <v>0</v>
      </c>
      <c r="J99" s="57">
        <f>J100+J116</f>
        <v>0</v>
      </c>
      <c r="K99" s="57">
        <f>K100+K116</f>
        <v>0</v>
      </c>
      <c r="L99" s="13"/>
      <c r="M99" s="24"/>
      <c r="P99" s="25">
        <v>750</v>
      </c>
    </row>
    <row r="100" spans="3:16" ht="12.75" x14ac:dyDescent="0.2">
      <c r="C100" s="6"/>
      <c r="D100" s="55" t="s">
        <v>202</v>
      </c>
      <c r="E100" s="26" t="s">
        <v>203</v>
      </c>
      <c r="F100" s="22" t="s">
        <v>204</v>
      </c>
      <c r="G100" s="23">
        <f t="shared" si="0"/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57">
        <f>K101+K102</f>
        <v>0</v>
      </c>
      <c r="L100" s="13"/>
      <c r="M100" s="24"/>
      <c r="P100" s="25">
        <v>760</v>
      </c>
    </row>
    <row r="101" spans="3:16" ht="12.75" x14ac:dyDescent="0.2">
      <c r="C101" s="6"/>
      <c r="D101" s="55" t="s">
        <v>205</v>
      </c>
      <c r="E101" s="48" t="s">
        <v>206</v>
      </c>
      <c r="F101" s="22" t="s">
        <v>207</v>
      </c>
      <c r="G101" s="23">
        <f t="shared" si="0"/>
        <v>0</v>
      </c>
      <c r="H101" s="56"/>
      <c r="I101" s="56"/>
      <c r="J101" s="56"/>
      <c r="K101" s="56"/>
      <c r="L101" s="13"/>
      <c r="M101" s="24"/>
      <c r="P101" s="25"/>
    </row>
    <row r="102" spans="3:16" ht="12.75" x14ac:dyDescent="0.2">
      <c r="C102" s="6"/>
      <c r="D102" s="55" t="s">
        <v>208</v>
      </c>
      <c r="E102" s="48" t="s">
        <v>209</v>
      </c>
      <c r="F102" s="22" t="s">
        <v>210</v>
      </c>
      <c r="G102" s="23">
        <f t="shared" si="0"/>
        <v>0</v>
      </c>
      <c r="H102" s="57">
        <f>H103+H106+H109+H112+H113+H114+H115</f>
        <v>0</v>
      </c>
      <c r="I102" s="57">
        <f>I103+I106+I109+I112+I113+I114+I115</f>
        <v>0</v>
      </c>
      <c r="J102" s="57">
        <f>J103+J106+J109+J112+J113+J114+J115</f>
        <v>0</v>
      </c>
      <c r="K102" s="57">
        <f>K103+K106+K109+K112+K113+K114+K115</f>
        <v>0</v>
      </c>
      <c r="L102" s="13"/>
      <c r="M102" s="24"/>
      <c r="P102" s="25"/>
    </row>
    <row r="103" spans="3:16" ht="33.75" x14ac:dyDescent="0.2">
      <c r="C103" s="6"/>
      <c r="D103" s="55" t="s">
        <v>211</v>
      </c>
      <c r="E103" s="49" t="s">
        <v>212</v>
      </c>
      <c r="F103" s="22" t="s">
        <v>213</v>
      </c>
      <c r="G103" s="23">
        <f t="shared" si="0"/>
        <v>0</v>
      </c>
      <c r="H103" s="58">
        <f>H104+H105</f>
        <v>0</v>
      </c>
      <c r="I103" s="58">
        <f>I104+I105</f>
        <v>0</v>
      </c>
      <c r="J103" s="58">
        <f>J104+J105</f>
        <v>0</v>
      </c>
      <c r="K103" s="58">
        <f>K104+K105</f>
        <v>0</v>
      </c>
      <c r="L103" s="13"/>
      <c r="M103" s="24"/>
      <c r="P103" s="25"/>
    </row>
    <row r="104" spans="3:16" ht="12.75" x14ac:dyDescent="0.2">
      <c r="C104" s="6"/>
      <c r="D104" s="55" t="s">
        <v>214</v>
      </c>
      <c r="E104" s="59" t="s">
        <v>215</v>
      </c>
      <c r="F104" s="22" t="s">
        <v>216</v>
      </c>
      <c r="G104" s="23">
        <f t="shared" si="0"/>
        <v>0</v>
      </c>
      <c r="H104" s="56"/>
      <c r="I104" s="56"/>
      <c r="J104" s="56"/>
      <c r="K104" s="56"/>
      <c r="L104" s="13"/>
      <c r="M104" s="24"/>
      <c r="P104" s="25"/>
    </row>
    <row r="105" spans="3:16" ht="12.75" x14ac:dyDescent="0.2">
      <c r="C105" s="6"/>
      <c r="D105" s="55" t="s">
        <v>217</v>
      </c>
      <c r="E105" s="59" t="s">
        <v>218</v>
      </c>
      <c r="F105" s="22" t="s">
        <v>219</v>
      </c>
      <c r="G105" s="23">
        <f t="shared" si="0"/>
        <v>0</v>
      </c>
      <c r="H105" s="56"/>
      <c r="I105" s="56"/>
      <c r="J105" s="56"/>
      <c r="K105" s="56"/>
      <c r="L105" s="13"/>
      <c r="M105" s="24"/>
      <c r="P105" s="25"/>
    </row>
    <row r="106" spans="3:16" ht="33.75" x14ac:dyDescent="0.2">
      <c r="C106" s="6"/>
      <c r="D106" s="55" t="s">
        <v>220</v>
      </c>
      <c r="E106" s="49" t="s">
        <v>221</v>
      </c>
      <c r="F106" s="22" t="s">
        <v>222</v>
      </c>
      <c r="G106" s="23">
        <f t="shared" si="0"/>
        <v>0</v>
      </c>
      <c r="H106" s="58">
        <f>H107+H108</f>
        <v>0</v>
      </c>
      <c r="I106" s="58">
        <f>I107+I108</f>
        <v>0</v>
      </c>
      <c r="J106" s="58">
        <f>J107+J108</f>
        <v>0</v>
      </c>
      <c r="K106" s="58">
        <f>K107+K108</f>
        <v>0</v>
      </c>
      <c r="L106" s="13"/>
      <c r="M106" s="24"/>
      <c r="P106" s="25"/>
    </row>
    <row r="107" spans="3:16" ht="12.75" x14ac:dyDescent="0.2">
      <c r="C107" s="6"/>
      <c r="D107" s="55" t="s">
        <v>223</v>
      </c>
      <c r="E107" s="59" t="s">
        <v>215</v>
      </c>
      <c r="F107" s="22" t="s">
        <v>224</v>
      </c>
      <c r="G107" s="23">
        <f t="shared" si="0"/>
        <v>0</v>
      </c>
      <c r="H107" s="56"/>
      <c r="I107" s="56"/>
      <c r="J107" s="56"/>
      <c r="K107" s="56"/>
      <c r="L107" s="13"/>
      <c r="M107" s="24"/>
      <c r="P107" s="25"/>
    </row>
    <row r="108" spans="3:16" ht="12.75" x14ac:dyDescent="0.2">
      <c r="C108" s="6"/>
      <c r="D108" s="55" t="s">
        <v>225</v>
      </c>
      <c r="E108" s="59" t="s">
        <v>218</v>
      </c>
      <c r="F108" s="22" t="s">
        <v>226</v>
      </c>
      <c r="G108" s="23">
        <f t="shared" si="0"/>
        <v>0</v>
      </c>
      <c r="H108" s="56"/>
      <c r="I108" s="56"/>
      <c r="J108" s="56"/>
      <c r="K108" s="56"/>
      <c r="L108" s="13"/>
      <c r="M108" s="24"/>
      <c r="P108" s="25"/>
    </row>
    <row r="109" spans="3:16" ht="22.5" x14ac:dyDescent="0.2">
      <c r="C109" s="6"/>
      <c r="D109" s="55" t="s">
        <v>227</v>
      </c>
      <c r="E109" s="49" t="s">
        <v>228</v>
      </c>
      <c r="F109" s="22" t="s">
        <v>229</v>
      </c>
      <c r="G109" s="23">
        <f t="shared" si="0"/>
        <v>0</v>
      </c>
      <c r="H109" s="58">
        <f>H110+H111</f>
        <v>0</v>
      </c>
      <c r="I109" s="58">
        <f>I110+I111</f>
        <v>0</v>
      </c>
      <c r="J109" s="58">
        <f>J110+J111</f>
        <v>0</v>
      </c>
      <c r="K109" s="58">
        <f>K110+K111</f>
        <v>0</v>
      </c>
      <c r="L109" s="13"/>
      <c r="M109" s="24"/>
      <c r="P109" s="25"/>
    </row>
    <row r="110" spans="3:16" ht="12.75" x14ac:dyDescent="0.2">
      <c r="C110" s="6"/>
      <c r="D110" s="55" t="s">
        <v>230</v>
      </c>
      <c r="E110" s="59" t="s">
        <v>215</v>
      </c>
      <c r="F110" s="22" t="s">
        <v>231</v>
      </c>
      <c r="G110" s="23">
        <f t="shared" si="0"/>
        <v>0</v>
      </c>
      <c r="H110" s="56"/>
      <c r="I110" s="56"/>
      <c r="J110" s="56"/>
      <c r="K110" s="56"/>
      <c r="L110" s="13"/>
      <c r="M110" s="24"/>
      <c r="P110" s="25"/>
    </row>
    <row r="111" spans="3:16" ht="12.75" x14ac:dyDescent="0.2">
      <c r="C111" s="6"/>
      <c r="D111" s="55" t="s">
        <v>232</v>
      </c>
      <c r="E111" s="59" t="s">
        <v>218</v>
      </c>
      <c r="F111" s="22" t="s">
        <v>233</v>
      </c>
      <c r="G111" s="23">
        <f t="shared" si="0"/>
        <v>0</v>
      </c>
      <c r="H111" s="56"/>
      <c r="I111" s="56"/>
      <c r="J111" s="56"/>
      <c r="K111" s="56"/>
      <c r="L111" s="13"/>
      <c r="M111" s="24"/>
      <c r="P111" s="25"/>
    </row>
    <row r="112" spans="3:16" ht="12.75" x14ac:dyDescent="0.2">
      <c r="C112" s="6"/>
      <c r="D112" s="55" t="s">
        <v>234</v>
      </c>
      <c r="E112" s="49" t="s">
        <v>235</v>
      </c>
      <c r="F112" s="22" t="s">
        <v>236</v>
      </c>
      <c r="G112" s="23">
        <f t="shared" si="0"/>
        <v>0</v>
      </c>
      <c r="H112" s="56"/>
      <c r="I112" s="56"/>
      <c r="J112" s="56"/>
      <c r="K112" s="56"/>
      <c r="L112" s="13"/>
      <c r="M112" s="24"/>
      <c r="P112" s="25"/>
    </row>
    <row r="113" spans="3:16" ht="12.75" x14ac:dyDescent="0.2">
      <c r="C113" s="6"/>
      <c r="D113" s="55" t="s">
        <v>237</v>
      </c>
      <c r="E113" s="49" t="s">
        <v>238</v>
      </c>
      <c r="F113" s="22" t="s">
        <v>239</v>
      </c>
      <c r="G113" s="23">
        <f t="shared" si="0"/>
        <v>0</v>
      </c>
      <c r="H113" s="56"/>
      <c r="I113" s="56"/>
      <c r="J113" s="56"/>
      <c r="K113" s="56"/>
      <c r="L113" s="13"/>
      <c r="M113" s="24"/>
      <c r="P113" s="25"/>
    </row>
    <row r="114" spans="3:16" ht="33.75" x14ac:dyDescent="0.2">
      <c r="C114" s="6"/>
      <c r="D114" s="55" t="s">
        <v>240</v>
      </c>
      <c r="E114" s="49" t="s">
        <v>241</v>
      </c>
      <c r="F114" s="22" t="s">
        <v>242</v>
      </c>
      <c r="G114" s="23">
        <f t="shared" si="0"/>
        <v>0</v>
      </c>
      <c r="H114" s="56"/>
      <c r="I114" s="56"/>
      <c r="J114" s="56"/>
      <c r="K114" s="56"/>
      <c r="L114" s="13"/>
      <c r="M114" s="24"/>
      <c r="P114" s="25"/>
    </row>
    <row r="115" spans="3:16" ht="22.5" x14ac:dyDescent="0.2">
      <c r="C115" s="6"/>
      <c r="D115" s="55" t="s">
        <v>243</v>
      </c>
      <c r="E115" s="49" t="s">
        <v>244</v>
      </c>
      <c r="F115" s="22" t="s">
        <v>245</v>
      </c>
      <c r="G115" s="23">
        <f t="shared" si="0"/>
        <v>0</v>
      </c>
      <c r="H115" s="56"/>
      <c r="I115" s="56"/>
      <c r="J115" s="56"/>
      <c r="K115" s="56"/>
      <c r="L115" s="13"/>
      <c r="M115" s="24"/>
      <c r="P115" s="25"/>
    </row>
    <row r="116" spans="3:16" ht="12.75" x14ac:dyDescent="0.2">
      <c r="C116" s="6"/>
      <c r="D116" s="55" t="s">
        <v>246</v>
      </c>
      <c r="E116" s="26" t="s">
        <v>247</v>
      </c>
      <c r="F116" s="22" t="s">
        <v>248</v>
      </c>
      <c r="G116" s="23">
        <f t="shared" si="0"/>
        <v>0</v>
      </c>
      <c r="H116" s="57">
        <f>H119</f>
        <v>0</v>
      </c>
      <c r="I116" s="57">
        <f>I119</f>
        <v>0</v>
      </c>
      <c r="J116" s="57">
        <f>J119</f>
        <v>0</v>
      </c>
      <c r="K116" s="57">
        <f>K119</f>
        <v>0</v>
      </c>
      <c r="L116" s="13"/>
      <c r="M116" s="24"/>
      <c r="P116" s="25">
        <v>770</v>
      </c>
    </row>
    <row r="117" spans="3:16" ht="12.75" x14ac:dyDescent="0.2">
      <c r="C117" s="6"/>
      <c r="D117" s="55" t="s">
        <v>249</v>
      </c>
      <c r="E117" s="48" t="s">
        <v>191</v>
      </c>
      <c r="F117" s="22" t="s">
        <v>250</v>
      </c>
      <c r="G117" s="23">
        <f t="shared" si="0"/>
        <v>0</v>
      </c>
      <c r="H117" s="56"/>
      <c r="I117" s="56"/>
      <c r="J117" s="56"/>
      <c r="K117" s="56"/>
      <c r="L117" s="13"/>
      <c r="M117" s="24"/>
      <c r="P117" s="25">
        <v>780</v>
      </c>
    </row>
    <row r="118" spans="3:16" ht="12.75" x14ac:dyDescent="0.2">
      <c r="C118" s="6"/>
      <c r="D118" s="55" t="s">
        <v>251</v>
      </c>
      <c r="E118" s="49" t="s">
        <v>252</v>
      </c>
      <c r="F118" s="22" t="s">
        <v>253</v>
      </c>
      <c r="G118" s="23">
        <f t="shared" si="0"/>
        <v>0</v>
      </c>
      <c r="H118" s="56"/>
      <c r="I118" s="56"/>
      <c r="J118" s="56"/>
      <c r="K118" s="56"/>
      <c r="L118" s="13"/>
      <c r="M118" s="24"/>
      <c r="P118" s="25"/>
    </row>
    <row r="119" spans="3:16" ht="12.75" x14ac:dyDescent="0.2">
      <c r="C119" s="6"/>
      <c r="D119" s="55" t="s">
        <v>254</v>
      </c>
      <c r="E119" s="48" t="s">
        <v>197</v>
      </c>
      <c r="F119" s="22" t="s">
        <v>255</v>
      </c>
      <c r="G119" s="23">
        <f t="shared" si="0"/>
        <v>0</v>
      </c>
      <c r="H119" s="56"/>
      <c r="I119" s="56"/>
      <c r="J119" s="56"/>
      <c r="K119" s="56"/>
      <c r="L119" s="13"/>
      <c r="M119" s="24"/>
      <c r="P119" s="25">
        <v>790</v>
      </c>
    </row>
    <row r="120" spans="3:16" ht="12.75" x14ac:dyDescent="0.2">
      <c r="C120" s="6"/>
      <c r="D120" s="55" t="s">
        <v>256</v>
      </c>
      <c r="E120" s="46" t="s">
        <v>257</v>
      </c>
      <c r="F120" s="22" t="s">
        <v>258</v>
      </c>
      <c r="G120" s="23">
        <f t="shared" si="0"/>
        <v>1649.5119999999999</v>
      </c>
      <c r="H120" s="57">
        <f>SUM(H121:H122)</f>
        <v>0</v>
      </c>
      <c r="I120" s="57">
        <f>SUM(I121:I122)</f>
        <v>0</v>
      </c>
      <c r="J120" s="57">
        <f>SUM(J121:J122)</f>
        <v>165.541</v>
      </c>
      <c r="K120" s="57">
        <f>SUM(K121:K122)</f>
        <v>1483.971</v>
      </c>
      <c r="L120" s="13"/>
      <c r="M120" s="24"/>
      <c r="P120" s="25"/>
    </row>
    <row r="121" spans="3:16" ht="12.75" x14ac:dyDescent="0.2">
      <c r="C121" s="6"/>
      <c r="D121" s="55" t="s">
        <v>259</v>
      </c>
      <c r="E121" s="26" t="s">
        <v>185</v>
      </c>
      <c r="F121" s="22" t="s">
        <v>260</v>
      </c>
      <c r="G121" s="23">
        <f t="shared" si="0"/>
        <v>1649.5119999999999</v>
      </c>
      <c r="H121" s="56"/>
      <c r="I121" s="56"/>
      <c r="J121" s="56">
        <f>J36</f>
        <v>165.541</v>
      </c>
      <c r="K121" s="56">
        <f>K36</f>
        <v>1483.971</v>
      </c>
      <c r="L121" s="13"/>
      <c r="M121" s="24"/>
      <c r="P121" s="25"/>
    </row>
    <row r="122" spans="3:16" ht="12.75" x14ac:dyDescent="0.2">
      <c r="C122" s="6"/>
      <c r="D122" s="55" t="s">
        <v>261</v>
      </c>
      <c r="E122" s="26" t="s">
        <v>188</v>
      </c>
      <c r="F122" s="22" t="s">
        <v>262</v>
      </c>
      <c r="G122" s="23">
        <f t="shared" si="0"/>
        <v>0</v>
      </c>
      <c r="H122" s="57">
        <f>H124</f>
        <v>0</v>
      </c>
      <c r="I122" s="57">
        <f>I124</f>
        <v>0</v>
      </c>
      <c r="J122" s="57">
        <f>J124</f>
        <v>0</v>
      </c>
      <c r="K122" s="57">
        <f>K124</f>
        <v>0</v>
      </c>
      <c r="L122" s="13"/>
      <c r="M122" s="24"/>
      <c r="P122" s="25"/>
    </row>
    <row r="123" spans="3:16" ht="12.75" x14ac:dyDescent="0.2">
      <c r="C123" s="6"/>
      <c r="D123" s="55" t="s">
        <v>263</v>
      </c>
      <c r="E123" s="48" t="s">
        <v>264</v>
      </c>
      <c r="F123" s="22" t="s">
        <v>265</v>
      </c>
      <c r="G123" s="23">
        <f t="shared" si="0"/>
        <v>0</v>
      </c>
      <c r="H123" s="56"/>
      <c r="I123" s="56"/>
      <c r="J123" s="56"/>
      <c r="K123" s="56"/>
      <c r="L123" s="13"/>
      <c r="M123" s="24"/>
      <c r="P123" s="25"/>
    </row>
    <row r="124" spans="3:16" ht="12.75" x14ac:dyDescent="0.2">
      <c r="C124" s="6"/>
      <c r="D124" s="55" t="s">
        <v>266</v>
      </c>
      <c r="E124" s="48" t="s">
        <v>197</v>
      </c>
      <c r="F124" s="22" t="s">
        <v>267</v>
      </c>
      <c r="G124" s="23">
        <f t="shared" si="0"/>
        <v>0</v>
      </c>
      <c r="H124" s="56"/>
      <c r="I124" s="56"/>
      <c r="J124" s="56"/>
      <c r="K124" s="56"/>
      <c r="L124" s="13"/>
      <c r="M124" s="24"/>
      <c r="P124" s="25"/>
    </row>
    <row r="125" spans="3:16" ht="12.75" x14ac:dyDescent="0.2">
      <c r="C125" s="6"/>
      <c r="D125" s="87" t="s">
        <v>268</v>
      </c>
      <c r="E125" s="88"/>
      <c r="F125" s="88"/>
      <c r="G125" s="88"/>
      <c r="H125" s="88"/>
      <c r="I125" s="88"/>
      <c r="J125" s="88"/>
      <c r="K125" s="89"/>
      <c r="L125" s="13"/>
      <c r="M125" s="24"/>
      <c r="P125" s="60"/>
    </row>
    <row r="126" spans="3:16" ht="22.5" x14ac:dyDescent="0.2">
      <c r="C126" s="6"/>
      <c r="D126" s="55" t="s">
        <v>269</v>
      </c>
      <c r="E126" s="21" t="s">
        <v>270</v>
      </c>
      <c r="F126" s="22" t="s">
        <v>271</v>
      </c>
      <c r="G126" s="23">
        <f t="shared" si="0"/>
        <v>0</v>
      </c>
      <c r="H126" s="57">
        <f>SUM( H127:H128)</f>
        <v>0</v>
      </c>
      <c r="I126" s="57">
        <f>SUM( I127:I128)</f>
        <v>0</v>
      </c>
      <c r="J126" s="57">
        <f>SUM( J127:J128)</f>
        <v>0</v>
      </c>
      <c r="K126" s="57">
        <f>SUM( K127:K128)</f>
        <v>0</v>
      </c>
      <c r="L126" s="13"/>
      <c r="M126" s="24"/>
      <c r="P126" s="25">
        <v>800</v>
      </c>
    </row>
    <row r="127" spans="3:16" ht="12.75" x14ac:dyDescent="0.2">
      <c r="C127" s="6"/>
      <c r="D127" s="55" t="s">
        <v>272</v>
      </c>
      <c r="E127" s="26" t="s">
        <v>185</v>
      </c>
      <c r="F127" s="22" t="s">
        <v>273</v>
      </c>
      <c r="G127" s="23">
        <f t="shared" si="0"/>
        <v>0</v>
      </c>
      <c r="H127" s="56"/>
      <c r="I127" s="56"/>
      <c r="J127" s="56"/>
      <c r="K127" s="56"/>
      <c r="L127" s="13"/>
      <c r="M127" s="24"/>
      <c r="P127" s="25">
        <v>810</v>
      </c>
    </row>
    <row r="128" spans="3:16" ht="12.75" x14ac:dyDescent="0.2">
      <c r="C128" s="6"/>
      <c r="D128" s="55" t="s">
        <v>274</v>
      </c>
      <c r="E128" s="26" t="s">
        <v>188</v>
      </c>
      <c r="F128" s="22" t="s">
        <v>275</v>
      </c>
      <c r="G128" s="23">
        <f t="shared" si="0"/>
        <v>0</v>
      </c>
      <c r="H128" s="57">
        <f>H129+H131</f>
        <v>0</v>
      </c>
      <c r="I128" s="57">
        <f>I129+I131</f>
        <v>0</v>
      </c>
      <c r="J128" s="57">
        <f>J129+J131</f>
        <v>0</v>
      </c>
      <c r="K128" s="57">
        <f>K129+K131</f>
        <v>0</v>
      </c>
      <c r="L128" s="13"/>
      <c r="M128" s="24"/>
      <c r="P128" s="25">
        <v>820</v>
      </c>
    </row>
    <row r="129" spans="3:16" ht="12.75" x14ac:dyDescent="0.2">
      <c r="C129" s="6"/>
      <c r="D129" s="55" t="s">
        <v>276</v>
      </c>
      <c r="E129" s="48" t="s">
        <v>277</v>
      </c>
      <c r="F129" s="22" t="s">
        <v>278</v>
      </c>
      <c r="G129" s="23">
        <f t="shared" si="0"/>
        <v>0</v>
      </c>
      <c r="H129" s="56"/>
      <c r="I129" s="56"/>
      <c r="J129" s="56"/>
      <c r="K129" s="56"/>
      <c r="L129" s="13"/>
      <c r="M129" s="24"/>
      <c r="P129" s="25">
        <v>830</v>
      </c>
    </row>
    <row r="130" spans="3:16" ht="12.75" x14ac:dyDescent="0.2">
      <c r="C130" s="6"/>
      <c r="D130" s="55" t="s">
        <v>279</v>
      </c>
      <c r="E130" s="49" t="s">
        <v>280</v>
      </c>
      <c r="F130" s="22" t="s">
        <v>281</v>
      </c>
      <c r="G130" s="23">
        <f t="shared" si="0"/>
        <v>0</v>
      </c>
      <c r="H130" s="56"/>
      <c r="I130" s="56"/>
      <c r="J130" s="56"/>
      <c r="K130" s="56"/>
      <c r="L130" s="13"/>
      <c r="M130" s="24"/>
      <c r="P130" s="60"/>
    </row>
    <row r="131" spans="3:16" ht="12.75" x14ac:dyDescent="0.2">
      <c r="C131" s="6"/>
      <c r="D131" s="55" t="s">
        <v>282</v>
      </c>
      <c r="E131" s="48" t="s">
        <v>283</v>
      </c>
      <c r="F131" s="22" t="s">
        <v>284</v>
      </c>
      <c r="G131" s="23">
        <f t="shared" si="0"/>
        <v>0</v>
      </c>
      <c r="H131" s="56"/>
      <c r="I131" s="56"/>
      <c r="J131" s="56"/>
      <c r="K131" s="56"/>
      <c r="L131" s="13"/>
      <c r="M131" s="24"/>
      <c r="P131" s="25">
        <v>840</v>
      </c>
    </row>
    <row r="132" spans="3:16" ht="12.75" x14ac:dyDescent="0.2">
      <c r="C132" s="6"/>
      <c r="D132" s="55" t="s">
        <v>30</v>
      </c>
      <c r="E132" s="21" t="s">
        <v>285</v>
      </c>
      <c r="F132" s="22" t="s">
        <v>286</v>
      </c>
      <c r="G132" s="23">
        <f t="shared" si="0"/>
        <v>0</v>
      </c>
      <c r="H132" s="58">
        <f>SUM( H133+H138)</f>
        <v>0</v>
      </c>
      <c r="I132" s="58">
        <f>SUM( I133+I138)</f>
        <v>0</v>
      </c>
      <c r="J132" s="58">
        <f>SUM( J133+J138)</f>
        <v>0</v>
      </c>
      <c r="K132" s="58">
        <f>SUM( K133+K138)</f>
        <v>0</v>
      </c>
      <c r="L132" s="61"/>
      <c r="M132" s="24"/>
      <c r="P132" s="25">
        <v>850</v>
      </c>
    </row>
    <row r="133" spans="3:16" ht="12.75" x14ac:dyDescent="0.2">
      <c r="C133" s="6"/>
      <c r="D133" s="55" t="s">
        <v>287</v>
      </c>
      <c r="E133" s="26" t="s">
        <v>185</v>
      </c>
      <c r="F133" s="22" t="s">
        <v>288</v>
      </c>
      <c r="G133" s="23">
        <f t="shared" ref="G133:G146" si="1">SUM(H133:K133)</f>
        <v>0</v>
      </c>
      <c r="H133" s="58">
        <f>SUM( H134:H135)</f>
        <v>0</v>
      </c>
      <c r="I133" s="58">
        <f>SUM( I134:I135)</f>
        <v>0</v>
      </c>
      <c r="J133" s="58">
        <f>SUM( J134:J135)</f>
        <v>0</v>
      </c>
      <c r="K133" s="58">
        <f>SUM( K134:K135)</f>
        <v>0</v>
      </c>
      <c r="L133" s="61"/>
      <c r="M133" s="24"/>
      <c r="P133" s="25">
        <v>860</v>
      </c>
    </row>
    <row r="134" spans="3:16" ht="12.75" x14ac:dyDescent="0.2">
      <c r="C134" s="6"/>
      <c r="D134" s="55" t="s">
        <v>289</v>
      </c>
      <c r="E134" s="48" t="s">
        <v>206</v>
      </c>
      <c r="F134" s="22" t="s">
        <v>290</v>
      </c>
      <c r="G134" s="23">
        <f t="shared" si="1"/>
        <v>0</v>
      </c>
      <c r="H134" s="62"/>
      <c r="I134" s="62"/>
      <c r="J134" s="62"/>
      <c r="K134" s="62"/>
      <c r="L134" s="61"/>
      <c r="M134" s="24"/>
      <c r="P134" s="25"/>
    </row>
    <row r="135" spans="3:16" ht="12.75" x14ac:dyDescent="0.2">
      <c r="C135" s="6"/>
      <c r="D135" s="55" t="s">
        <v>291</v>
      </c>
      <c r="E135" s="48" t="s">
        <v>209</v>
      </c>
      <c r="F135" s="22" t="s">
        <v>292</v>
      </c>
      <c r="G135" s="23">
        <f t="shared" si="1"/>
        <v>0</v>
      </c>
      <c r="H135" s="58">
        <f>H136+H137</f>
        <v>0</v>
      </c>
      <c r="I135" s="58">
        <f>I136+I137</f>
        <v>0</v>
      </c>
      <c r="J135" s="58">
        <f>J136+J137</f>
        <v>0</v>
      </c>
      <c r="K135" s="58">
        <f>K136+K137</f>
        <v>0</v>
      </c>
      <c r="L135" s="61"/>
      <c r="M135" s="24"/>
      <c r="P135" s="25"/>
    </row>
    <row r="136" spans="3:16" ht="12.75" x14ac:dyDescent="0.2">
      <c r="C136" s="6"/>
      <c r="D136" s="55" t="s">
        <v>293</v>
      </c>
      <c r="E136" s="49" t="s">
        <v>215</v>
      </c>
      <c r="F136" s="22" t="s">
        <v>294</v>
      </c>
      <c r="G136" s="23">
        <f t="shared" si="1"/>
        <v>0</v>
      </c>
      <c r="H136" s="62"/>
      <c r="I136" s="62"/>
      <c r="J136" s="62"/>
      <c r="K136" s="62"/>
      <c r="L136" s="61"/>
      <c r="M136" s="24"/>
      <c r="P136" s="25"/>
    </row>
    <row r="137" spans="3:16" ht="12.75" x14ac:dyDescent="0.2">
      <c r="C137" s="6"/>
      <c r="D137" s="55" t="s">
        <v>295</v>
      </c>
      <c r="E137" s="49" t="s">
        <v>296</v>
      </c>
      <c r="F137" s="22" t="s">
        <v>297</v>
      </c>
      <c r="G137" s="23">
        <f t="shared" si="1"/>
        <v>0</v>
      </c>
      <c r="H137" s="62"/>
      <c r="I137" s="62"/>
      <c r="J137" s="62"/>
      <c r="K137" s="62"/>
      <c r="L137" s="61"/>
      <c r="M137" s="24"/>
      <c r="P137" s="25"/>
    </row>
    <row r="138" spans="3:16" ht="12.75" x14ac:dyDescent="0.2">
      <c r="C138" s="6"/>
      <c r="D138" s="55" t="s">
        <v>298</v>
      </c>
      <c r="E138" s="26" t="s">
        <v>247</v>
      </c>
      <c r="F138" s="22" t="s">
        <v>299</v>
      </c>
      <c r="G138" s="23">
        <f t="shared" si="1"/>
        <v>0</v>
      </c>
      <c r="H138" s="58">
        <f>H139+H141</f>
        <v>0</v>
      </c>
      <c r="I138" s="58">
        <f>I139+I141</f>
        <v>0</v>
      </c>
      <c r="J138" s="58">
        <f>J139+J141</f>
        <v>0</v>
      </c>
      <c r="K138" s="58">
        <f>K139+K141</f>
        <v>0</v>
      </c>
      <c r="L138" s="61"/>
      <c r="M138" s="24"/>
      <c r="P138" s="25">
        <v>870</v>
      </c>
    </row>
    <row r="139" spans="3:16" ht="12.75" x14ac:dyDescent="0.2">
      <c r="C139" s="6"/>
      <c r="D139" s="55" t="s">
        <v>300</v>
      </c>
      <c r="E139" s="48" t="s">
        <v>277</v>
      </c>
      <c r="F139" s="22" t="s">
        <v>301</v>
      </c>
      <c r="G139" s="23">
        <f t="shared" si="1"/>
        <v>0</v>
      </c>
      <c r="H139" s="56"/>
      <c r="I139" s="56"/>
      <c r="J139" s="56"/>
      <c r="K139" s="56"/>
      <c r="L139" s="61"/>
      <c r="M139" s="24"/>
      <c r="P139" s="25">
        <v>880</v>
      </c>
    </row>
    <row r="140" spans="3:16" ht="12.75" x14ac:dyDescent="0.2">
      <c r="C140" s="6"/>
      <c r="D140" s="55" t="s">
        <v>302</v>
      </c>
      <c r="E140" s="49" t="s">
        <v>280</v>
      </c>
      <c r="F140" s="22" t="s">
        <v>303</v>
      </c>
      <c r="G140" s="23">
        <f t="shared" si="1"/>
        <v>0</v>
      </c>
      <c r="H140" s="56"/>
      <c r="I140" s="56"/>
      <c r="J140" s="56"/>
      <c r="K140" s="56"/>
      <c r="L140" s="61"/>
      <c r="M140" s="24"/>
      <c r="P140" s="25"/>
    </row>
    <row r="141" spans="3:16" ht="12.75" x14ac:dyDescent="0.2">
      <c r="C141" s="6"/>
      <c r="D141" s="55" t="s">
        <v>304</v>
      </c>
      <c r="E141" s="48" t="s">
        <v>283</v>
      </c>
      <c r="F141" s="22" t="s">
        <v>305</v>
      </c>
      <c r="G141" s="23">
        <f t="shared" si="1"/>
        <v>0</v>
      </c>
      <c r="H141" s="63"/>
      <c r="I141" s="63"/>
      <c r="J141" s="63"/>
      <c r="K141" s="63"/>
      <c r="L141" s="61"/>
      <c r="M141" s="24"/>
      <c r="P141" s="25">
        <v>890</v>
      </c>
    </row>
    <row r="142" spans="3:16" ht="12.75" x14ac:dyDescent="0.2">
      <c r="C142" s="6"/>
      <c r="D142" s="55" t="s">
        <v>306</v>
      </c>
      <c r="E142" s="21" t="s">
        <v>307</v>
      </c>
      <c r="F142" s="22" t="s">
        <v>308</v>
      </c>
      <c r="G142" s="23">
        <f t="shared" si="1"/>
        <v>2401.689472</v>
      </c>
      <c r="H142" s="64">
        <f>SUM( H143:H144)</f>
        <v>0</v>
      </c>
      <c r="I142" s="64">
        <f>SUM( I143:I144)</f>
        <v>0</v>
      </c>
      <c r="J142" s="64">
        <f>SUM( J143:J144)</f>
        <v>241.02769599999999</v>
      </c>
      <c r="K142" s="64">
        <f>SUM( K143:K144)</f>
        <v>2160.6617759999999</v>
      </c>
      <c r="L142" s="61"/>
      <c r="M142" s="24"/>
      <c r="P142" s="25">
        <v>900</v>
      </c>
    </row>
    <row r="143" spans="3:16" ht="12.75" x14ac:dyDescent="0.2">
      <c r="C143" s="6"/>
      <c r="D143" s="55" t="s">
        <v>309</v>
      </c>
      <c r="E143" s="26" t="s">
        <v>185</v>
      </c>
      <c r="F143" s="22" t="s">
        <v>310</v>
      </c>
      <c r="G143" s="23">
        <f t="shared" si="1"/>
        <v>2401.689472</v>
      </c>
      <c r="H143" s="63"/>
      <c r="I143" s="63"/>
      <c r="J143" s="65">
        <f>J121*1.456</f>
        <v>241.02769599999999</v>
      </c>
      <c r="K143" s="65">
        <f>K121*1.456</f>
        <v>2160.6617759999999</v>
      </c>
      <c r="L143" s="61"/>
      <c r="M143" s="24"/>
      <c r="P143" s="25"/>
    </row>
    <row r="144" spans="3:16" ht="12.75" x14ac:dyDescent="0.2">
      <c r="C144" s="6"/>
      <c r="D144" s="55" t="s">
        <v>311</v>
      </c>
      <c r="E144" s="26" t="s">
        <v>188</v>
      </c>
      <c r="F144" s="22" t="s">
        <v>312</v>
      </c>
      <c r="G144" s="23">
        <f t="shared" si="1"/>
        <v>0</v>
      </c>
      <c r="H144" s="64">
        <f>H145+H146</f>
        <v>0</v>
      </c>
      <c r="I144" s="64">
        <f>I145+I146</f>
        <v>0</v>
      </c>
      <c r="J144" s="64">
        <f>J145+J146</f>
        <v>0</v>
      </c>
      <c r="K144" s="64">
        <f>K145+K146</f>
        <v>0</v>
      </c>
      <c r="L144" s="61"/>
      <c r="M144" s="24"/>
      <c r="P144" s="25"/>
    </row>
    <row r="145" spans="3:19" ht="12.75" x14ac:dyDescent="0.2">
      <c r="C145" s="6"/>
      <c r="D145" s="55" t="s">
        <v>313</v>
      </c>
      <c r="E145" s="48" t="s">
        <v>314</v>
      </c>
      <c r="F145" s="22" t="s">
        <v>315</v>
      </c>
      <c r="G145" s="23">
        <f t="shared" si="1"/>
        <v>0</v>
      </c>
      <c r="H145" s="63"/>
      <c r="I145" s="63"/>
      <c r="J145" s="63"/>
      <c r="K145" s="63"/>
      <c r="L145" s="61"/>
      <c r="M145" s="24"/>
      <c r="P145" s="25" t="s">
        <v>316</v>
      </c>
    </row>
    <row r="146" spans="3:19" ht="12.75" x14ac:dyDescent="0.2">
      <c r="C146" s="6"/>
      <c r="D146" s="55" t="s">
        <v>317</v>
      </c>
      <c r="E146" s="48" t="s">
        <v>283</v>
      </c>
      <c r="F146" s="22" t="s">
        <v>318</v>
      </c>
      <c r="G146" s="23">
        <f t="shared" si="1"/>
        <v>0</v>
      </c>
      <c r="H146" s="63"/>
      <c r="I146" s="63"/>
      <c r="J146" s="63"/>
      <c r="K146" s="66"/>
      <c r="L146" s="61"/>
      <c r="M146" s="24"/>
      <c r="P146" s="25" t="s">
        <v>319</v>
      </c>
    </row>
    <row r="147" spans="3:19" x14ac:dyDescent="0.25">
      <c r="D147" s="11"/>
      <c r="E147" s="67"/>
      <c r="F147" s="67"/>
      <c r="G147" s="67"/>
      <c r="H147" s="67"/>
      <c r="I147" s="67"/>
      <c r="J147" s="67"/>
      <c r="K147" s="68"/>
      <c r="L147" s="68"/>
      <c r="M147" s="68"/>
      <c r="N147" s="68"/>
      <c r="O147" s="68"/>
      <c r="P147" s="68"/>
      <c r="Q147" s="68"/>
      <c r="R147" s="69"/>
      <c r="S147" s="69"/>
    </row>
    <row r="148" spans="3:19" ht="12.75" x14ac:dyDescent="0.2">
      <c r="E148" s="24" t="s">
        <v>320</v>
      </c>
      <c r="F148" s="79" t="str">
        <f>IF([6]Титульный!G45="","",[6]Титульный!G45)</f>
        <v>Коммерческий директор</v>
      </c>
      <c r="G148" s="79"/>
      <c r="H148" s="70"/>
      <c r="I148" s="79" t="str">
        <f>IF([6]Титульный!G44="","",[6]Титульный!G44)</f>
        <v>Байков Алексей Александрович</v>
      </c>
      <c r="J148" s="79"/>
      <c r="K148" s="79"/>
      <c r="L148" s="70"/>
      <c r="M148" s="71"/>
      <c r="N148" s="71"/>
      <c r="O148" s="72"/>
      <c r="P148" s="68"/>
      <c r="Q148" s="68"/>
      <c r="R148" s="69"/>
      <c r="S148" s="69"/>
    </row>
    <row r="149" spans="3:19" ht="12.75" x14ac:dyDescent="0.2">
      <c r="E149" s="73" t="s">
        <v>321</v>
      </c>
      <c r="F149" s="78" t="s">
        <v>322</v>
      </c>
      <c r="G149" s="78"/>
      <c r="H149" s="72"/>
      <c r="I149" s="78" t="s">
        <v>323</v>
      </c>
      <c r="J149" s="78"/>
      <c r="K149" s="78"/>
      <c r="L149" s="72"/>
      <c r="M149" s="78" t="s">
        <v>324</v>
      </c>
      <c r="N149" s="78"/>
      <c r="O149" s="24"/>
      <c r="P149" s="68"/>
      <c r="Q149" s="68"/>
      <c r="R149" s="69"/>
      <c r="S149" s="69"/>
    </row>
    <row r="150" spans="3:19" ht="12.75" x14ac:dyDescent="0.2">
      <c r="E150" s="73" t="s">
        <v>325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68"/>
      <c r="Q150" s="68"/>
      <c r="R150" s="69"/>
      <c r="S150" s="69"/>
    </row>
    <row r="151" spans="3:19" ht="12.75" x14ac:dyDescent="0.2">
      <c r="E151" s="73" t="s">
        <v>326</v>
      </c>
      <c r="F151" s="79" t="str">
        <f>IF([6]Титульный!G46="","",[6]Титульный!G46)</f>
        <v>(495) 637 3220</v>
      </c>
      <c r="G151" s="79"/>
      <c r="H151" s="79"/>
      <c r="I151" s="24"/>
      <c r="J151" s="73" t="s">
        <v>327</v>
      </c>
      <c r="K151" s="74"/>
      <c r="L151" s="24"/>
      <c r="M151" s="24"/>
      <c r="N151" s="24"/>
      <c r="O151" s="24"/>
      <c r="P151" s="68"/>
      <c r="Q151" s="68"/>
      <c r="R151" s="69"/>
      <c r="S151" s="69"/>
    </row>
    <row r="152" spans="3:19" ht="12.75" x14ac:dyDescent="0.2">
      <c r="E152" s="24" t="s">
        <v>328</v>
      </c>
      <c r="F152" s="80" t="s">
        <v>329</v>
      </c>
      <c r="G152" s="80"/>
      <c r="H152" s="80"/>
      <c r="I152" s="24"/>
      <c r="J152" s="75" t="s">
        <v>330</v>
      </c>
      <c r="K152" s="75"/>
      <c r="L152" s="24"/>
      <c r="M152" s="24"/>
      <c r="N152" s="24"/>
      <c r="O152" s="24"/>
      <c r="P152" s="68"/>
      <c r="Q152" s="68"/>
      <c r="R152" s="69"/>
      <c r="S152" s="69"/>
    </row>
    <row r="153" spans="3:19" x14ac:dyDescent="0.25"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9"/>
      <c r="S153" s="69"/>
    </row>
    <row r="154" spans="3:19" x14ac:dyDescent="0.25"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9"/>
      <c r="S154" s="69"/>
    </row>
    <row r="155" spans="3:19" x14ac:dyDescent="0.25"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9"/>
      <c r="S155" s="69"/>
    </row>
    <row r="156" spans="3:19" x14ac:dyDescent="0.25"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9"/>
      <c r="S156" s="69"/>
    </row>
    <row r="157" spans="3:19" x14ac:dyDescent="0.25"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9"/>
      <c r="S157" s="69"/>
    </row>
    <row r="158" spans="3:19" x14ac:dyDescent="0.25"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9"/>
      <c r="S158" s="69"/>
    </row>
    <row r="159" spans="3:19" x14ac:dyDescent="0.25"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  <c r="S159" s="69"/>
    </row>
    <row r="160" spans="3:19" x14ac:dyDescent="0.25"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9"/>
      <c r="S160" s="69"/>
    </row>
    <row r="161" spans="5:19" x14ac:dyDescent="0.25"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9"/>
      <c r="S161" s="69"/>
    </row>
    <row r="162" spans="5:19" x14ac:dyDescent="0.25"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9"/>
      <c r="S162" s="69"/>
    </row>
    <row r="163" spans="5:19" x14ac:dyDescent="0.25"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9"/>
      <c r="S163" s="69"/>
    </row>
    <row r="164" spans="5:19" x14ac:dyDescent="0.25"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9"/>
      <c r="S164" s="69"/>
    </row>
    <row r="165" spans="5:19" x14ac:dyDescent="0.25"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9"/>
      <c r="S165" s="69"/>
    </row>
    <row r="166" spans="5:19" x14ac:dyDescent="0.25"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9"/>
      <c r="S166" s="69"/>
    </row>
    <row r="167" spans="5:19" x14ac:dyDescent="0.25"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9"/>
      <c r="S167" s="69"/>
    </row>
    <row r="168" spans="5:19" x14ac:dyDescent="0.25"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9"/>
      <c r="S168" s="69"/>
    </row>
    <row r="169" spans="5:19" x14ac:dyDescent="0.25"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9"/>
      <c r="S169" s="69"/>
    </row>
    <row r="170" spans="5:19" x14ac:dyDescent="0.25"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9"/>
      <c r="S170" s="69"/>
    </row>
    <row r="171" spans="5:19" x14ac:dyDescent="0.25"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9"/>
      <c r="S171" s="69"/>
    </row>
    <row r="172" spans="5:19" x14ac:dyDescent="0.25"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9"/>
      <c r="S172" s="69"/>
    </row>
    <row r="173" spans="5:19" x14ac:dyDescent="0.25"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9"/>
      <c r="S173" s="69"/>
    </row>
    <row r="174" spans="5:19" x14ac:dyDescent="0.25"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9"/>
      <c r="S174" s="69"/>
    </row>
    <row r="175" spans="5:19" x14ac:dyDescent="0.25"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9"/>
      <c r="S175" s="69"/>
    </row>
    <row r="176" spans="5:19" x14ac:dyDescent="0.25"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9"/>
      <c r="S176" s="69"/>
    </row>
    <row r="177" spans="5:19" x14ac:dyDescent="0.25"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9"/>
      <c r="S177" s="69"/>
    </row>
    <row r="178" spans="5:19" x14ac:dyDescent="0.25"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</row>
    <row r="179" spans="5:19" x14ac:dyDescent="0.25"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5:19" x14ac:dyDescent="0.25"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5:19" x14ac:dyDescent="0.25"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</sheetData>
  <mergeCells count="18">
    <mergeCell ref="F148:G148"/>
    <mergeCell ref="I148:K148"/>
    <mergeCell ref="D8:E8"/>
    <mergeCell ref="D11:D12"/>
    <mergeCell ref="E11:E12"/>
    <mergeCell ref="F11:F12"/>
    <mergeCell ref="G11:G12"/>
    <mergeCell ref="H11:K11"/>
    <mergeCell ref="D14:K14"/>
    <mergeCell ref="D51:K51"/>
    <mergeCell ref="D88:K88"/>
    <mergeCell ref="D92:K92"/>
    <mergeCell ref="D125:K125"/>
    <mergeCell ref="F149:G149"/>
    <mergeCell ref="I149:K149"/>
    <mergeCell ref="M149:N149"/>
    <mergeCell ref="F151:H151"/>
    <mergeCell ref="F152:H152"/>
  </mergeCells>
  <dataValidations count="2">
    <dataValidation allowBlank="1" showInputMessage="1" promptTitle="Ввод" prompt="Для выбора организации необходимо два раза нажать левую клавишу мыши!" sqref="E25 E62"/>
    <dataValidation type="decimal" allowBlank="1" showErrorMessage="1" errorTitle="Ошибка" error="Допускается ввод только действительных чисел!" sqref="G27:K40 G89:K91 G93:K124 G52:K55 G23:K25 G79:K87 G20:K21 G64:K77 G42:K50 G15:K18 G126:K146 G57:K58 G60:K6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Y181"/>
  <sheetViews>
    <sheetView view="pageBreakPreview" topLeftCell="C7" zoomScaleNormal="100" zoomScaleSheetLayoutView="100" workbookViewId="0">
      <selection activeCell="K8" sqref="K8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idden="1" x14ac:dyDescent="0.25">
      <c r="S1" s="2"/>
      <c r="T1" s="2"/>
      <c r="U1" s="2"/>
      <c r="V1" s="2"/>
      <c r="Y1" s="2"/>
      <c r="AN1" s="2"/>
      <c r="AO1" s="2"/>
      <c r="AP1" s="2"/>
      <c r="BC1" s="2"/>
      <c r="BF1" s="2"/>
      <c r="BI1" s="2"/>
      <c r="BJ1" s="2"/>
      <c r="BX1" s="2"/>
      <c r="BY1" s="2"/>
    </row>
    <row r="2" spans="1:77" hidden="1" x14ac:dyDescent="0.25"/>
    <row r="3" spans="1:77" hidden="1" x14ac:dyDescent="0.25"/>
    <row r="4" spans="1:77" hidden="1" x14ac:dyDescent="0.2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idden="1" x14ac:dyDescent="0.2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idden="1" x14ac:dyDescent="0.25">
      <c r="A6" s="5"/>
    </row>
    <row r="7" spans="1:77" ht="12" customHeight="1" x14ac:dyDescent="0.25">
      <c r="A7" s="5"/>
      <c r="D7" s="6"/>
      <c r="E7" s="6"/>
      <c r="F7" s="6"/>
      <c r="G7" s="6"/>
      <c r="H7" s="6"/>
      <c r="I7" s="6"/>
      <c r="J7" s="6"/>
      <c r="K7" s="7" t="s">
        <v>336</v>
      </c>
      <c r="Q7" s="8"/>
    </row>
    <row r="8" spans="1:77" ht="22.5" customHeight="1" x14ac:dyDescent="0.25">
      <c r="A8" s="5"/>
      <c r="D8" s="81" t="s">
        <v>11</v>
      </c>
      <c r="E8" s="8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77" x14ac:dyDescent="0.25">
      <c r="A9" s="5"/>
      <c r="D9" s="10" t="str">
        <f>IF(org="","Не определено",org)</f>
        <v>ЗАО "Коттон Вэй"</v>
      </c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77" ht="12" customHeight="1" x14ac:dyDescent="0.25">
      <c r="D10" s="11"/>
      <c r="E10" s="11"/>
      <c r="F10" s="6"/>
      <c r="G10" s="6"/>
      <c r="H10" s="6"/>
      <c r="I10" s="6"/>
      <c r="K10" s="12" t="s">
        <v>12</v>
      </c>
    </row>
    <row r="11" spans="1:77" ht="15" customHeight="1" x14ac:dyDescent="0.25">
      <c r="C11" s="6"/>
      <c r="D11" s="82" t="s">
        <v>13</v>
      </c>
      <c r="E11" s="84" t="s">
        <v>14</v>
      </c>
      <c r="F11" s="84" t="s">
        <v>15</v>
      </c>
      <c r="G11" s="84" t="s">
        <v>16</v>
      </c>
      <c r="H11" s="84" t="s">
        <v>17</v>
      </c>
      <c r="I11" s="84"/>
      <c r="J11" s="84"/>
      <c r="K11" s="86"/>
      <c r="L11" s="13"/>
    </row>
    <row r="12" spans="1:77" ht="15" customHeight="1" x14ac:dyDescent="0.25">
      <c r="C12" s="6"/>
      <c r="D12" s="83"/>
      <c r="E12" s="85"/>
      <c r="F12" s="85"/>
      <c r="G12" s="85"/>
      <c r="H12" s="14" t="s">
        <v>18</v>
      </c>
      <c r="I12" s="14" t="s">
        <v>19</v>
      </c>
      <c r="J12" s="14" t="s">
        <v>20</v>
      </c>
      <c r="K12" s="15" t="s">
        <v>21</v>
      </c>
      <c r="L12" s="13"/>
    </row>
    <row r="13" spans="1:77" ht="12" customHeight="1" x14ac:dyDescent="0.25">
      <c r="D13" s="16">
        <v>0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</row>
    <row r="14" spans="1:77" s="17" customFormat="1" ht="15" customHeight="1" x14ac:dyDescent="0.25">
      <c r="C14" s="18"/>
      <c r="D14" s="87" t="s">
        <v>22</v>
      </c>
      <c r="E14" s="88"/>
      <c r="F14" s="88"/>
      <c r="G14" s="88"/>
      <c r="H14" s="88"/>
      <c r="I14" s="88"/>
      <c r="J14" s="88"/>
      <c r="K14" s="89"/>
      <c r="L14" s="19"/>
    </row>
    <row r="15" spans="1:77" s="17" customFormat="1" ht="15" customHeight="1" x14ac:dyDescent="0.2">
      <c r="C15" s="18"/>
      <c r="D15" s="20" t="s">
        <v>23</v>
      </c>
      <c r="E15" s="21" t="s">
        <v>24</v>
      </c>
      <c r="F15" s="22">
        <v>10</v>
      </c>
      <c r="G15" s="23">
        <f>SUM(H15:K15)</f>
        <v>1580.2629999999999</v>
      </c>
      <c r="H15" s="23">
        <f>H16+H17+H20+H23</f>
        <v>1278.162</v>
      </c>
      <c r="I15" s="23">
        <f>I16+I17+I20+I23</f>
        <v>0</v>
      </c>
      <c r="J15" s="23">
        <f>J16+J17+J20+J23</f>
        <v>302.101</v>
      </c>
      <c r="K15" s="23">
        <f>K16+K17+K20+K23</f>
        <v>0</v>
      </c>
      <c r="L15" s="19"/>
      <c r="M15" s="24"/>
      <c r="P15" s="25">
        <v>10</v>
      </c>
    </row>
    <row r="16" spans="1:77" s="17" customFormat="1" ht="15" customHeight="1" x14ac:dyDescent="0.2">
      <c r="C16" s="18"/>
      <c r="D16" s="20" t="s">
        <v>25</v>
      </c>
      <c r="E16" s="26" t="s">
        <v>26</v>
      </c>
      <c r="F16" s="22">
        <v>20</v>
      </c>
      <c r="G16" s="23">
        <f t="shared" ref="G16:G132" si="0">SUM(H16:K16)</f>
        <v>0</v>
      </c>
      <c r="H16" s="27"/>
      <c r="I16" s="27"/>
      <c r="J16" s="27"/>
      <c r="K16" s="27"/>
      <c r="L16" s="19"/>
      <c r="M16" s="24"/>
      <c r="P16" s="25">
        <v>20</v>
      </c>
    </row>
    <row r="17" spans="3:16" s="17" customFormat="1" ht="12.75" x14ac:dyDescent="0.2">
      <c r="C17" s="18"/>
      <c r="D17" s="20" t="s">
        <v>27</v>
      </c>
      <c r="E17" s="26" t="s">
        <v>28</v>
      </c>
      <c r="F17" s="22">
        <v>30</v>
      </c>
      <c r="G17" s="23">
        <f t="shared" si="0"/>
        <v>0</v>
      </c>
      <c r="H17" s="23">
        <f>SUM(H18:H19)</f>
        <v>0</v>
      </c>
      <c r="I17" s="23">
        <f>SUM(I18:I19)</f>
        <v>0</v>
      </c>
      <c r="J17" s="23">
        <f>SUM(J18:J19)</f>
        <v>0</v>
      </c>
      <c r="K17" s="23">
        <f>SUM(K18:K19)</f>
        <v>0</v>
      </c>
      <c r="L17" s="19"/>
      <c r="M17" s="24"/>
      <c r="P17" s="25">
        <v>30</v>
      </c>
    </row>
    <row r="18" spans="3:16" s="17" customFormat="1" ht="12.75" x14ac:dyDescent="0.2">
      <c r="C18" s="18"/>
      <c r="D18" s="28" t="s">
        <v>29</v>
      </c>
      <c r="E18" s="29"/>
      <c r="F18" s="30" t="s">
        <v>30</v>
      </c>
      <c r="G18" s="31"/>
      <c r="H18" s="31"/>
      <c r="I18" s="31"/>
      <c r="J18" s="31"/>
      <c r="K18" s="31"/>
      <c r="L18" s="19"/>
      <c r="M18" s="24"/>
      <c r="P18" s="25"/>
    </row>
    <row r="19" spans="3:16" s="17" customFormat="1" ht="12.75" x14ac:dyDescent="0.2">
      <c r="C19" s="18"/>
      <c r="D19" s="32"/>
      <c r="E19" s="33" t="s">
        <v>31</v>
      </c>
      <c r="F19" s="34"/>
      <c r="G19" s="34"/>
      <c r="H19" s="34"/>
      <c r="I19" s="34"/>
      <c r="J19" s="34"/>
      <c r="K19" s="35"/>
      <c r="L19" s="19"/>
      <c r="M19" s="24"/>
      <c r="P19" s="36"/>
    </row>
    <row r="20" spans="3:16" s="17" customFormat="1" ht="12.75" x14ac:dyDescent="0.2">
      <c r="C20" s="18"/>
      <c r="D20" s="20" t="s">
        <v>32</v>
      </c>
      <c r="E20" s="26" t="s">
        <v>33</v>
      </c>
      <c r="F20" s="22" t="s">
        <v>34</v>
      </c>
      <c r="G20" s="23">
        <f t="shared" si="0"/>
        <v>0</v>
      </c>
      <c r="H20" s="23">
        <f>SUM(H21:H22)</f>
        <v>0</v>
      </c>
      <c r="I20" s="23">
        <f>SUM(I21:I22)</f>
        <v>0</v>
      </c>
      <c r="J20" s="23">
        <f>SUM(J21:J22)</f>
        <v>0</v>
      </c>
      <c r="K20" s="23">
        <f>SUM(K21:K22)</f>
        <v>0</v>
      </c>
      <c r="L20" s="19"/>
      <c r="M20" s="24"/>
      <c r="P20" s="36"/>
    </row>
    <row r="21" spans="3:16" s="17" customFormat="1" ht="12.75" x14ac:dyDescent="0.2">
      <c r="C21" s="18"/>
      <c r="D21" s="28" t="s">
        <v>35</v>
      </c>
      <c r="E21" s="29"/>
      <c r="F21" s="30" t="s">
        <v>34</v>
      </c>
      <c r="G21" s="31"/>
      <c r="H21" s="31"/>
      <c r="I21" s="31"/>
      <c r="J21" s="31"/>
      <c r="K21" s="31"/>
      <c r="L21" s="19"/>
      <c r="M21" s="24"/>
      <c r="P21" s="25"/>
    </row>
    <row r="22" spans="3:16" s="17" customFormat="1" ht="12.75" x14ac:dyDescent="0.2">
      <c r="C22" s="18"/>
      <c r="D22" s="32"/>
      <c r="E22" s="33" t="s">
        <v>31</v>
      </c>
      <c r="F22" s="34"/>
      <c r="G22" s="34"/>
      <c r="H22" s="34"/>
      <c r="I22" s="34"/>
      <c r="J22" s="34"/>
      <c r="K22" s="35"/>
      <c r="L22" s="19"/>
      <c r="M22" s="24"/>
      <c r="P22" s="36"/>
    </row>
    <row r="23" spans="3:16" s="17" customFormat="1" ht="12.75" x14ac:dyDescent="0.2">
      <c r="C23" s="18"/>
      <c r="D23" s="20" t="s">
        <v>36</v>
      </c>
      <c r="E23" s="26" t="s">
        <v>37</v>
      </c>
      <c r="F23" s="22" t="s">
        <v>38</v>
      </c>
      <c r="G23" s="23">
        <f t="shared" si="0"/>
        <v>1580.2629999999999</v>
      </c>
      <c r="H23" s="23">
        <f>SUM(H24:H26)</f>
        <v>1278.162</v>
      </c>
      <c r="I23" s="23">
        <f>SUM(I24:I26)</f>
        <v>0</v>
      </c>
      <c r="J23" s="23">
        <f>SUM(J24:J26)</f>
        <v>302.101</v>
      </c>
      <c r="K23" s="23">
        <f>SUM(K24:K26)</f>
        <v>0</v>
      </c>
      <c r="L23" s="19"/>
      <c r="M23" s="24"/>
      <c r="P23" s="25">
        <v>40</v>
      </c>
    </row>
    <row r="24" spans="3:16" s="17" customFormat="1" ht="12.75" x14ac:dyDescent="0.2">
      <c r="C24" s="18"/>
      <c r="D24" s="28" t="s">
        <v>39</v>
      </c>
      <c r="E24" s="29"/>
      <c r="F24" s="30" t="s">
        <v>38</v>
      </c>
      <c r="G24" s="31"/>
      <c r="H24" s="31"/>
      <c r="I24" s="31"/>
      <c r="J24" s="31"/>
      <c r="K24" s="31"/>
      <c r="L24" s="19"/>
      <c r="M24" s="24"/>
      <c r="P24" s="25"/>
    </row>
    <row r="25" spans="3:16" s="17" customFormat="1" ht="15" x14ac:dyDescent="0.25">
      <c r="C25" s="37" t="s">
        <v>40</v>
      </c>
      <c r="D25" s="38" t="s">
        <v>41</v>
      </c>
      <c r="E25" s="39" t="s">
        <v>42</v>
      </c>
      <c r="F25" s="40">
        <v>431</v>
      </c>
      <c r="G25" s="41">
        <f>SUM(H25:K25)</f>
        <v>1580.2629999999999</v>
      </c>
      <c r="H25" s="42">
        <v>1278.162</v>
      </c>
      <c r="I25" s="42">
        <v>0</v>
      </c>
      <c r="J25" s="42">
        <v>302.101</v>
      </c>
      <c r="K25" s="42">
        <v>0</v>
      </c>
      <c r="L25" s="19"/>
      <c r="M25" s="43" t="s">
        <v>43</v>
      </c>
      <c r="N25" s="44" t="s">
        <v>44</v>
      </c>
      <c r="O25" s="44" t="s">
        <v>45</v>
      </c>
    </row>
    <row r="26" spans="3:16" s="17" customFormat="1" ht="12.75" x14ac:dyDescent="0.2">
      <c r="C26" s="18"/>
      <c r="D26" s="32"/>
      <c r="E26" s="33" t="s">
        <v>31</v>
      </c>
      <c r="F26" s="34"/>
      <c r="G26" s="34"/>
      <c r="H26" s="34"/>
      <c r="I26" s="34"/>
      <c r="J26" s="34"/>
      <c r="K26" s="35"/>
      <c r="L26" s="19"/>
      <c r="M26" s="24"/>
      <c r="P26" s="25"/>
    </row>
    <row r="27" spans="3:16" s="17" customFormat="1" ht="12.75" x14ac:dyDescent="0.2">
      <c r="C27" s="18"/>
      <c r="D27" s="20" t="s">
        <v>46</v>
      </c>
      <c r="E27" s="21" t="s">
        <v>47</v>
      </c>
      <c r="F27" s="22" t="s">
        <v>48</v>
      </c>
      <c r="G27" s="23">
        <f t="shared" si="0"/>
        <v>2698.1660000000002</v>
      </c>
      <c r="H27" s="23">
        <f>H29+H30+H31</f>
        <v>0</v>
      </c>
      <c r="I27" s="23">
        <f>I28+I30+I31</f>
        <v>0</v>
      </c>
      <c r="J27" s="23">
        <f>J28+J29+J31</f>
        <v>1278.162</v>
      </c>
      <c r="K27" s="23">
        <f>K28+K29+K30</f>
        <v>1420.0039999999999</v>
      </c>
      <c r="L27" s="19"/>
      <c r="M27" s="24"/>
      <c r="P27" s="25">
        <v>50</v>
      </c>
    </row>
    <row r="28" spans="3:16" s="17" customFormat="1" ht="12.75" x14ac:dyDescent="0.2">
      <c r="C28" s="18"/>
      <c r="D28" s="20" t="s">
        <v>49</v>
      </c>
      <c r="E28" s="26" t="s">
        <v>18</v>
      </c>
      <c r="F28" s="22" t="s">
        <v>50</v>
      </c>
      <c r="G28" s="23">
        <f t="shared" si="0"/>
        <v>1278.162</v>
      </c>
      <c r="H28" s="45"/>
      <c r="I28" s="27"/>
      <c r="J28" s="27">
        <f>H25</f>
        <v>1278.162</v>
      </c>
      <c r="K28" s="27"/>
      <c r="L28" s="19"/>
      <c r="M28" s="24"/>
      <c r="P28" s="25">
        <v>60</v>
      </c>
    </row>
    <row r="29" spans="3:16" s="17" customFormat="1" ht="12.75" x14ac:dyDescent="0.2">
      <c r="C29" s="18"/>
      <c r="D29" s="20" t="s">
        <v>51</v>
      </c>
      <c r="E29" s="26" t="s">
        <v>19</v>
      </c>
      <c r="F29" s="22" t="s">
        <v>52</v>
      </c>
      <c r="G29" s="23">
        <f t="shared" si="0"/>
        <v>0</v>
      </c>
      <c r="H29" s="27"/>
      <c r="I29" s="45"/>
      <c r="J29" s="27"/>
      <c r="K29" s="27"/>
      <c r="L29" s="19"/>
      <c r="M29" s="24"/>
      <c r="P29" s="25">
        <v>70</v>
      </c>
    </row>
    <row r="30" spans="3:16" s="17" customFormat="1" ht="12.75" x14ac:dyDescent="0.2">
      <c r="C30" s="18"/>
      <c r="D30" s="20" t="s">
        <v>53</v>
      </c>
      <c r="E30" s="26" t="s">
        <v>20</v>
      </c>
      <c r="F30" s="22" t="s">
        <v>54</v>
      </c>
      <c r="G30" s="23">
        <f t="shared" si="0"/>
        <v>1420.0039999999999</v>
      </c>
      <c r="H30" s="27"/>
      <c r="I30" s="27"/>
      <c r="J30" s="45"/>
      <c r="K30" s="27">
        <f>H25+J25-J36-J46</f>
        <v>1420.0039999999999</v>
      </c>
      <c r="L30" s="19"/>
      <c r="M30" s="24"/>
      <c r="P30" s="25">
        <v>80</v>
      </c>
    </row>
    <row r="31" spans="3:16" s="17" customFormat="1" ht="12.75" x14ac:dyDescent="0.2">
      <c r="C31" s="18"/>
      <c r="D31" s="20" t="s">
        <v>55</v>
      </c>
      <c r="E31" s="26" t="s">
        <v>56</v>
      </c>
      <c r="F31" s="22" t="s">
        <v>57</v>
      </c>
      <c r="G31" s="23">
        <f t="shared" si="0"/>
        <v>0</v>
      </c>
      <c r="H31" s="27"/>
      <c r="I31" s="27"/>
      <c r="J31" s="27"/>
      <c r="K31" s="45"/>
      <c r="L31" s="19"/>
      <c r="M31" s="24"/>
      <c r="P31" s="25">
        <v>90</v>
      </c>
    </row>
    <row r="32" spans="3:16" s="17" customFormat="1" ht="12.75" x14ac:dyDescent="0.2">
      <c r="C32" s="18"/>
      <c r="D32" s="20" t="s">
        <v>58</v>
      </c>
      <c r="E32" s="46" t="s">
        <v>59</v>
      </c>
      <c r="F32" s="22" t="s">
        <v>60</v>
      </c>
      <c r="G32" s="23">
        <f t="shared" si="0"/>
        <v>0</v>
      </c>
      <c r="H32" s="27"/>
      <c r="I32" s="27"/>
      <c r="J32" s="27"/>
      <c r="K32" s="27"/>
      <c r="L32" s="19"/>
      <c r="M32" s="24"/>
      <c r="P32" s="25"/>
    </row>
    <row r="33" spans="3:16" s="17" customFormat="1" ht="12.75" x14ac:dyDescent="0.2">
      <c r="C33" s="18"/>
      <c r="D33" s="20" t="s">
        <v>61</v>
      </c>
      <c r="E33" s="21" t="s">
        <v>62</v>
      </c>
      <c r="F33" s="47" t="s">
        <v>63</v>
      </c>
      <c r="G33" s="23">
        <f t="shared" si="0"/>
        <v>1592.2629999999999</v>
      </c>
      <c r="H33" s="23">
        <f>H34+H36+H39+H42</f>
        <v>0</v>
      </c>
      <c r="I33" s="23">
        <f>I34+I36+I39+I42</f>
        <v>0</v>
      </c>
      <c r="J33" s="23">
        <f>J34+J36+J39+J42</f>
        <v>160.25899999999999</v>
      </c>
      <c r="K33" s="23">
        <f>K34+K36+K39+K42</f>
        <v>1432.0039999999999</v>
      </c>
      <c r="L33" s="19"/>
      <c r="M33" s="24"/>
      <c r="P33" s="25">
        <v>100</v>
      </c>
    </row>
    <row r="34" spans="3:16" s="17" customFormat="1" ht="22.5" x14ac:dyDescent="0.2">
      <c r="C34" s="18"/>
      <c r="D34" s="20" t="s">
        <v>64</v>
      </c>
      <c r="E34" s="26" t="s">
        <v>65</v>
      </c>
      <c r="F34" s="22" t="s">
        <v>66</v>
      </c>
      <c r="G34" s="23">
        <f t="shared" si="0"/>
        <v>0</v>
      </c>
      <c r="H34" s="27"/>
      <c r="I34" s="27"/>
      <c r="J34" s="27"/>
      <c r="K34" s="27"/>
      <c r="L34" s="19"/>
      <c r="M34" s="24"/>
      <c r="P34" s="25"/>
    </row>
    <row r="35" spans="3:16" s="17" customFormat="1" ht="12.75" x14ac:dyDescent="0.2">
      <c r="C35" s="18"/>
      <c r="D35" s="20" t="s">
        <v>67</v>
      </c>
      <c r="E35" s="48" t="s">
        <v>68</v>
      </c>
      <c r="F35" s="22" t="s">
        <v>69</v>
      </c>
      <c r="G35" s="23">
        <f t="shared" si="0"/>
        <v>0</v>
      </c>
      <c r="H35" s="27"/>
      <c r="I35" s="27"/>
      <c r="J35" s="27"/>
      <c r="K35" s="27"/>
      <c r="L35" s="19"/>
      <c r="M35" s="24"/>
      <c r="P35" s="25"/>
    </row>
    <row r="36" spans="3:16" s="17" customFormat="1" ht="12.75" x14ac:dyDescent="0.2">
      <c r="C36" s="18"/>
      <c r="D36" s="20" t="s">
        <v>70</v>
      </c>
      <c r="E36" s="26" t="s">
        <v>71</v>
      </c>
      <c r="F36" s="22" t="s">
        <v>72</v>
      </c>
      <c r="G36" s="23">
        <f t="shared" si="0"/>
        <v>1592.2629999999999</v>
      </c>
      <c r="H36" s="27">
        <v>0</v>
      </c>
      <c r="I36" s="27">
        <v>0</v>
      </c>
      <c r="J36" s="27">
        <v>160.25899999999999</v>
      </c>
      <c r="K36" s="27">
        <f>1432.004</f>
        <v>1432.0039999999999</v>
      </c>
      <c r="L36" s="19"/>
      <c r="M36" s="24"/>
      <c r="P36" s="25"/>
    </row>
    <row r="37" spans="3:16" s="17" customFormat="1" ht="12.75" x14ac:dyDescent="0.2">
      <c r="C37" s="18"/>
      <c r="D37" s="20" t="s">
        <v>73</v>
      </c>
      <c r="E37" s="48" t="s">
        <v>74</v>
      </c>
      <c r="F37" s="22" t="s">
        <v>75</v>
      </c>
      <c r="G37" s="23">
        <f t="shared" si="0"/>
        <v>0</v>
      </c>
      <c r="H37" s="27"/>
      <c r="I37" s="27"/>
      <c r="J37" s="27"/>
      <c r="K37" s="27"/>
      <c r="L37" s="19"/>
      <c r="M37" s="24"/>
      <c r="P37" s="25"/>
    </row>
    <row r="38" spans="3:16" s="17" customFormat="1" ht="12.75" x14ac:dyDescent="0.2">
      <c r="C38" s="18"/>
      <c r="D38" s="20" t="s">
        <v>76</v>
      </c>
      <c r="E38" s="49" t="s">
        <v>68</v>
      </c>
      <c r="F38" s="22" t="s">
        <v>77</v>
      </c>
      <c r="G38" s="23">
        <f t="shared" si="0"/>
        <v>0</v>
      </c>
      <c r="H38" s="27"/>
      <c r="I38" s="27"/>
      <c r="J38" s="27"/>
      <c r="K38" s="27"/>
      <c r="L38" s="19"/>
      <c r="M38" s="24"/>
      <c r="P38" s="25"/>
    </row>
    <row r="39" spans="3:16" s="17" customFormat="1" ht="12.75" x14ac:dyDescent="0.2">
      <c r="C39" s="18"/>
      <c r="D39" s="20" t="s">
        <v>78</v>
      </c>
      <c r="E39" s="26" t="s">
        <v>79</v>
      </c>
      <c r="F39" s="22" t="s">
        <v>80</v>
      </c>
      <c r="G39" s="23">
        <f t="shared" si="0"/>
        <v>0</v>
      </c>
      <c r="H39" s="23">
        <f>SUM(H40:H41)</f>
        <v>0</v>
      </c>
      <c r="I39" s="23">
        <f>SUM(I40:I41)</f>
        <v>0</v>
      </c>
      <c r="J39" s="23">
        <f>SUM(J40:J41)</f>
        <v>0</v>
      </c>
      <c r="K39" s="23">
        <f>SUM(K40:K41)</f>
        <v>0</v>
      </c>
      <c r="L39" s="19"/>
      <c r="M39" s="24"/>
      <c r="P39" s="25"/>
    </row>
    <row r="40" spans="3:16" s="17" customFormat="1" ht="12.75" x14ac:dyDescent="0.2">
      <c r="C40" s="18"/>
      <c r="D40" s="28" t="s">
        <v>81</v>
      </c>
      <c r="E40" s="29"/>
      <c r="F40" s="30" t="s">
        <v>80</v>
      </c>
      <c r="G40" s="31"/>
      <c r="H40" s="31"/>
      <c r="I40" s="31"/>
      <c r="J40" s="31"/>
      <c r="K40" s="31"/>
      <c r="L40" s="19"/>
      <c r="M40" s="24"/>
      <c r="P40" s="25"/>
    </row>
    <row r="41" spans="3:16" s="17" customFormat="1" ht="12.75" x14ac:dyDescent="0.2">
      <c r="C41" s="18"/>
      <c r="D41" s="50"/>
      <c r="E41" s="33" t="s">
        <v>31</v>
      </c>
      <c r="F41" s="34"/>
      <c r="G41" s="34"/>
      <c r="H41" s="34"/>
      <c r="I41" s="34"/>
      <c r="J41" s="34"/>
      <c r="K41" s="35"/>
      <c r="L41" s="19"/>
      <c r="M41" s="24"/>
      <c r="P41" s="25"/>
    </row>
    <row r="42" spans="3:16" s="17" customFormat="1" ht="12.75" x14ac:dyDescent="0.2">
      <c r="C42" s="18"/>
      <c r="D42" s="20" t="s">
        <v>82</v>
      </c>
      <c r="E42" s="51" t="s">
        <v>83</v>
      </c>
      <c r="F42" s="22" t="s">
        <v>84</v>
      </c>
      <c r="G42" s="23">
        <f t="shared" si="0"/>
        <v>0</v>
      </c>
      <c r="H42" s="27"/>
      <c r="I42" s="27"/>
      <c r="J42" s="27"/>
      <c r="K42" s="27"/>
      <c r="L42" s="19"/>
      <c r="M42" s="24"/>
      <c r="P42" s="25">
        <v>120</v>
      </c>
    </row>
    <row r="43" spans="3:16" s="17" customFormat="1" ht="12.75" x14ac:dyDescent="0.2">
      <c r="C43" s="18"/>
      <c r="D43" s="20" t="s">
        <v>85</v>
      </c>
      <c r="E43" s="21" t="s">
        <v>86</v>
      </c>
      <c r="F43" s="22" t="s">
        <v>87</v>
      </c>
      <c r="G43" s="23">
        <f t="shared" si="0"/>
        <v>2698.1660000000002</v>
      </c>
      <c r="H43" s="27">
        <f>J28</f>
        <v>1278.162</v>
      </c>
      <c r="I43" s="27"/>
      <c r="J43" s="27">
        <f>K30</f>
        <v>1420.0039999999999</v>
      </c>
      <c r="K43" s="27"/>
      <c r="L43" s="19"/>
      <c r="M43" s="24"/>
      <c r="P43" s="25">
        <v>150</v>
      </c>
    </row>
    <row r="44" spans="3:16" s="17" customFormat="1" ht="12.75" x14ac:dyDescent="0.2">
      <c r="C44" s="18"/>
      <c r="D44" s="20" t="s">
        <v>88</v>
      </c>
      <c r="E44" s="21" t="s">
        <v>89</v>
      </c>
      <c r="F44" s="22" t="s">
        <v>90</v>
      </c>
      <c r="G44" s="23">
        <f t="shared" si="0"/>
        <v>0</v>
      </c>
      <c r="H44" s="27"/>
      <c r="I44" s="27"/>
      <c r="J44" s="27"/>
      <c r="K44" s="27"/>
      <c r="L44" s="19"/>
      <c r="M44" s="24"/>
      <c r="P44" s="25">
        <v>160</v>
      </c>
    </row>
    <row r="45" spans="3:16" s="17" customFormat="1" ht="12.75" x14ac:dyDescent="0.2">
      <c r="C45" s="18"/>
      <c r="D45" s="20" t="s">
        <v>91</v>
      </c>
      <c r="E45" s="21" t="s">
        <v>92</v>
      </c>
      <c r="F45" s="22" t="s">
        <v>93</v>
      </c>
      <c r="G45" s="23">
        <f t="shared" si="0"/>
        <v>0</v>
      </c>
      <c r="H45" s="27"/>
      <c r="I45" s="27"/>
      <c r="J45" s="27"/>
      <c r="K45" s="27"/>
      <c r="L45" s="19"/>
      <c r="M45" s="24"/>
      <c r="P45" s="25">
        <v>180</v>
      </c>
    </row>
    <row r="46" spans="3:16" s="17" customFormat="1" ht="12.75" x14ac:dyDescent="0.2">
      <c r="C46" s="18"/>
      <c r="D46" s="20" t="s">
        <v>94</v>
      </c>
      <c r="E46" s="21" t="s">
        <v>95</v>
      </c>
      <c r="F46" s="22" t="s">
        <v>96</v>
      </c>
      <c r="G46" s="23">
        <f t="shared" si="0"/>
        <v>-12</v>
      </c>
      <c r="H46" s="27"/>
      <c r="I46" s="27"/>
      <c r="J46" s="27"/>
      <c r="K46" s="27">
        <f>G25-G36</f>
        <v>-12</v>
      </c>
      <c r="L46" s="19"/>
      <c r="M46" s="24"/>
      <c r="P46" s="25">
        <v>190</v>
      </c>
    </row>
    <row r="47" spans="3:16" s="17" customFormat="1" ht="12.75" x14ac:dyDescent="0.2">
      <c r="C47" s="18"/>
      <c r="D47" s="20" t="s">
        <v>97</v>
      </c>
      <c r="E47" s="26" t="s">
        <v>98</v>
      </c>
      <c r="F47" s="22" t="s">
        <v>99</v>
      </c>
      <c r="G47" s="23">
        <f t="shared" si="0"/>
        <v>0</v>
      </c>
      <c r="H47" s="27"/>
      <c r="I47" s="27"/>
      <c r="J47" s="27">
        <v>0</v>
      </c>
      <c r="K47" s="27">
        <v>0</v>
      </c>
      <c r="L47" s="19"/>
      <c r="M47" s="24"/>
      <c r="P47" s="25">
        <v>200</v>
      </c>
    </row>
    <row r="48" spans="3:16" s="17" customFormat="1" ht="12.75" x14ac:dyDescent="0.2">
      <c r="C48" s="18"/>
      <c r="D48" s="20" t="s">
        <v>100</v>
      </c>
      <c r="E48" s="21" t="s">
        <v>101</v>
      </c>
      <c r="F48" s="22" t="s">
        <v>102</v>
      </c>
      <c r="G48" s="23">
        <f t="shared" si="0"/>
        <v>50</v>
      </c>
      <c r="H48" s="27"/>
      <c r="I48" s="27"/>
      <c r="J48" s="27"/>
      <c r="K48" s="27">
        <f>0.05*1000</f>
        <v>50</v>
      </c>
      <c r="L48" s="19"/>
      <c r="M48" s="24"/>
      <c r="P48" s="36"/>
    </row>
    <row r="49" spans="3:16" s="17" customFormat="1" ht="22.5" x14ac:dyDescent="0.2">
      <c r="C49" s="18"/>
      <c r="D49" s="20" t="s">
        <v>103</v>
      </c>
      <c r="E49" s="46" t="s">
        <v>104</v>
      </c>
      <c r="F49" s="22" t="s">
        <v>105</v>
      </c>
      <c r="G49" s="23">
        <f t="shared" si="0"/>
        <v>-62</v>
      </c>
      <c r="H49" s="23">
        <f>H46-H48</f>
        <v>0</v>
      </c>
      <c r="I49" s="23">
        <f>I46-I48</f>
        <v>0</v>
      </c>
      <c r="J49" s="23">
        <f>J46-J48</f>
        <v>0</v>
      </c>
      <c r="K49" s="23">
        <f>K46-K48</f>
        <v>-62</v>
      </c>
      <c r="L49" s="19"/>
      <c r="M49" s="24"/>
      <c r="P49" s="36"/>
    </row>
    <row r="50" spans="3:16" s="17" customFormat="1" ht="12.75" x14ac:dyDescent="0.2">
      <c r="C50" s="18"/>
      <c r="D50" s="20" t="s">
        <v>106</v>
      </c>
      <c r="E50" s="21" t="s">
        <v>107</v>
      </c>
      <c r="F50" s="22" t="s">
        <v>108</v>
      </c>
      <c r="G50" s="23">
        <f t="shared" si="0"/>
        <v>0</v>
      </c>
      <c r="H50" s="23">
        <f>(H15+H27+H32)-(H33+H43+H44+H45+H46)</f>
        <v>0</v>
      </c>
      <c r="I50" s="23">
        <f>(I15+I27+I32)-(I33+I43+I44+I45+I46)</f>
        <v>0</v>
      </c>
      <c r="J50" s="23">
        <f>(J15+J27+J32)-(J33+J43+J44+J45+J46)</f>
        <v>0</v>
      </c>
      <c r="K50" s="23">
        <f>(K15+K27+K32)-(K33+K43+K44+K45+K46)</f>
        <v>0</v>
      </c>
      <c r="L50" s="19"/>
      <c r="M50" s="24"/>
      <c r="P50" s="25">
        <v>210</v>
      </c>
    </row>
    <row r="51" spans="3:16" s="17" customFormat="1" ht="12.75" x14ac:dyDescent="0.2">
      <c r="C51" s="18"/>
      <c r="D51" s="87" t="s">
        <v>109</v>
      </c>
      <c r="E51" s="88"/>
      <c r="F51" s="88"/>
      <c r="G51" s="88"/>
      <c r="H51" s="88"/>
      <c r="I51" s="88"/>
      <c r="J51" s="88"/>
      <c r="K51" s="89"/>
      <c r="L51" s="19"/>
      <c r="M51" s="24"/>
      <c r="P51" s="36"/>
    </row>
    <row r="52" spans="3:16" s="17" customFormat="1" ht="12.75" x14ac:dyDescent="0.2">
      <c r="C52" s="18"/>
      <c r="D52" s="20" t="s">
        <v>110</v>
      </c>
      <c r="E52" s="21" t="s">
        <v>24</v>
      </c>
      <c r="F52" s="22" t="s">
        <v>111</v>
      </c>
      <c r="G52" s="23">
        <f t="shared" si="0"/>
        <v>3.6124999999999998</v>
      </c>
      <c r="H52" s="23">
        <f>H53+H54+H57+H60</f>
        <v>0.86699999999999988</v>
      </c>
      <c r="I52" s="23">
        <f>I53+I54+I57+I60</f>
        <v>0</v>
      </c>
      <c r="J52" s="23">
        <f>J53+J54+J57+J60</f>
        <v>2.7454999999999998</v>
      </c>
      <c r="K52" s="23">
        <f>K53+K54+K57+K60</f>
        <v>0</v>
      </c>
      <c r="L52" s="19"/>
      <c r="M52" s="24"/>
      <c r="P52" s="25">
        <v>300</v>
      </c>
    </row>
    <row r="53" spans="3:16" s="17" customFormat="1" ht="12.75" x14ac:dyDescent="0.2">
      <c r="C53" s="18"/>
      <c r="D53" s="20" t="s">
        <v>112</v>
      </c>
      <c r="E53" s="26" t="s">
        <v>26</v>
      </c>
      <c r="F53" s="22" t="s">
        <v>113</v>
      </c>
      <c r="G53" s="23">
        <f t="shared" si="0"/>
        <v>0</v>
      </c>
      <c r="H53" s="27"/>
      <c r="I53" s="27"/>
      <c r="J53" s="27"/>
      <c r="K53" s="27"/>
      <c r="L53" s="19"/>
      <c r="M53" s="24"/>
      <c r="P53" s="25">
        <v>310</v>
      </c>
    </row>
    <row r="54" spans="3:16" s="17" customFormat="1" ht="12.75" x14ac:dyDescent="0.2">
      <c r="C54" s="18"/>
      <c r="D54" s="20" t="s">
        <v>114</v>
      </c>
      <c r="E54" s="26" t="s">
        <v>28</v>
      </c>
      <c r="F54" s="22" t="s">
        <v>115</v>
      </c>
      <c r="G54" s="23">
        <f t="shared" si="0"/>
        <v>0</v>
      </c>
      <c r="H54" s="23">
        <f>SUM(H55:H56)</f>
        <v>0</v>
      </c>
      <c r="I54" s="23">
        <f>SUM(I55:I56)</f>
        <v>0</v>
      </c>
      <c r="J54" s="23">
        <f>SUM(J55:J56)</f>
        <v>0</v>
      </c>
      <c r="K54" s="23">
        <f>SUM(K55:K56)</f>
        <v>0</v>
      </c>
      <c r="L54" s="19"/>
      <c r="M54" s="24"/>
      <c r="P54" s="25">
        <v>320</v>
      </c>
    </row>
    <row r="55" spans="3:16" s="17" customFormat="1" ht="12.75" x14ac:dyDescent="0.2">
      <c r="C55" s="18"/>
      <c r="D55" s="28" t="s">
        <v>116</v>
      </c>
      <c r="E55" s="29"/>
      <c r="F55" s="30" t="s">
        <v>115</v>
      </c>
      <c r="G55" s="31"/>
      <c r="H55" s="31"/>
      <c r="I55" s="31"/>
      <c r="J55" s="31"/>
      <c r="K55" s="31"/>
      <c r="L55" s="19"/>
      <c r="M55" s="24"/>
      <c r="P55" s="25"/>
    </row>
    <row r="56" spans="3:16" s="17" customFormat="1" ht="12.75" x14ac:dyDescent="0.2">
      <c r="C56" s="18"/>
      <c r="D56" s="32"/>
      <c r="E56" s="33" t="s">
        <v>31</v>
      </c>
      <c r="F56" s="34"/>
      <c r="G56" s="34"/>
      <c r="H56" s="34"/>
      <c r="I56" s="34"/>
      <c r="J56" s="34"/>
      <c r="K56" s="35"/>
      <c r="L56" s="19"/>
      <c r="M56" s="24"/>
      <c r="P56" s="25"/>
    </row>
    <row r="57" spans="3:16" s="17" customFormat="1" ht="12.75" x14ac:dyDescent="0.2">
      <c r="C57" s="18"/>
      <c r="D57" s="20" t="s">
        <v>117</v>
      </c>
      <c r="E57" s="26" t="s">
        <v>33</v>
      </c>
      <c r="F57" s="22" t="s">
        <v>118</v>
      </c>
      <c r="G57" s="23">
        <f t="shared" si="0"/>
        <v>0</v>
      </c>
      <c r="H57" s="23">
        <f>SUM(H58:H59)</f>
        <v>0</v>
      </c>
      <c r="I57" s="23">
        <f>SUM(I58:I59)</f>
        <v>0</v>
      </c>
      <c r="J57" s="23">
        <f>SUM(J58:J59)</f>
        <v>0</v>
      </c>
      <c r="K57" s="23">
        <f>SUM(K58:K59)</f>
        <v>0</v>
      </c>
      <c r="L57" s="19"/>
      <c r="M57" s="24"/>
      <c r="P57" s="25"/>
    </row>
    <row r="58" spans="3:16" s="17" customFormat="1" ht="12.75" x14ac:dyDescent="0.2">
      <c r="C58" s="18"/>
      <c r="D58" s="28" t="s">
        <v>119</v>
      </c>
      <c r="E58" s="29"/>
      <c r="F58" s="30" t="s">
        <v>118</v>
      </c>
      <c r="G58" s="31"/>
      <c r="H58" s="31"/>
      <c r="I58" s="31"/>
      <c r="J58" s="31"/>
      <c r="K58" s="31"/>
      <c r="L58" s="19"/>
      <c r="M58" s="24"/>
      <c r="P58" s="25"/>
    </row>
    <row r="59" spans="3:16" s="17" customFormat="1" ht="12.75" x14ac:dyDescent="0.2">
      <c r="C59" s="18"/>
      <c r="D59" s="32"/>
      <c r="E59" s="33" t="s">
        <v>31</v>
      </c>
      <c r="F59" s="34"/>
      <c r="G59" s="34"/>
      <c r="H59" s="34"/>
      <c r="I59" s="34"/>
      <c r="J59" s="34"/>
      <c r="K59" s="35"/>
      <c r="L59" s="19"/>
      <c r="M59" s="24"/>
      <c r="P59" s="25"/>
    </row>
    <row r="60" spans="3:16" s="17" customFormat="1" ht="12.75" x14ac:dyDescent="0.2">
      <c r="C60" s="18"/>
      <c r="D60" s="20" t="s">
        <v>120</v>
      </c>
      <c r="E60" s="26" t="s">
        <v>37</v>
      </c>
      <c r="F60" s="22" t="s">
        <v>121</v>
      </c>
      <c r="G60" s="23">
        <f t="shared" si="0"/>
        <v>3.6124999999999998</v>
      </c>
      <c r="H60" s="23">
        <f>SUM(H61:H63)</f>
        <v>0.86699999999999988</v>
      </c>
      <c r="I60" s="23">
        <f>SUM(I61:I63)</f>
        <v>0</v>
      </c>
      <c r="J60" s="23">
        <f>SUM(J61:J63)</f>
        <v>2.7454999999999998</v>
      </c>
      <c r="K60" s="23">
        <f>SUM(K61:K63)</f>
        <v>0</v>
      </c>
      <c r="L60" s="19"/>
      <c r="M60" s="24"/>
      <c r="P60" s="25">
        <v>330</v>
      </c>
    </row>
    <row r="61" spans="3:16" s="17" customFormat="1" ht="12.75" x14ac:dyDescent="0.2">
      <c r="C61" s="18"/>
      <c r="D61" s="28" t="s">
        <v>122</v>
      </c>
      <c r="E61" s="29"/>
      <c r="F61" s="30" t="s">
        <v>121</v>
      </c>
      <c r="G61" s="31"/>
      <c r="H61" s="31"/>
      <c r="I61" s="31"/>
      <c r="J61" s="31"/>
      <c r="K61" s="31"/>
      <c r="L61" s="19"/>
      <c r="M61" s="24"/>
      <c r="P61" s="25"/>
    </row>
    <row r="62" spans="3:16" s="17" customFormat="1" ht="15" x14ac:dyDescent="0.25">
      <c r="C62" s="37" t="s">
        <v>40</v>
      </c>
      <c r="D62" s="38" t="s">
        <v>123</v>
      </c>
      <c r="E62" s="39" t="s">
        <v>42</v>
      </c>
      <c r="F62" s="40">
        <v>1461</v>
      </c>
      <c r="G62" s="41">
        <f>SUM(H62:K62)</f>
        <v>3.6124999999999998</v>
      </c>
      <c r="H62" s="52">
        <f>3.6125*0.24</f>
        <v>0.86699999999999988</v>
      </c>
      <c r="I62" s="52">
        <v>0</v>
      </c>
      <c r="J62" s="52">
        <f>3.6125-H62</f>
        <v>2.7454999999999998</v>
      </c>
      <c r="K62" s="53">
        <v>0</v>
      </c>
      <c r="L62" s="19"/>
      <c r="M62" s="43" t="s">
        <v>43</v>
      </c>
      <c r="N62" s="44" t="s">
        <v>44</v>
      </c>
      <c r="O62" s="44" t="s">
        <v>45</v>
      </c>
    </row>
    <row r="63" spans="3:16" s="17" customFormat="1" ht="12.75" x14ac:dyDescent="0.2">
      <c r="C63" s="18"/>
      <c r="D63" s="32"/>
      <c r="E63" s="33" t="s">
        <v>31</v>
      </c>
      <c r="F63" s="34"/>
      <c r="G63" s="34"/>
      <c r="H63" s="34"/>
      <c r="I63" s="34"/>
      <c r="J63" s="34"/>
      <c r="K63" s="35"/>
      <c r="L63" s="19"/>
      <c r="M63" s="24"/>
      <c r="P63" s="25"/>
    </row>
    <row r="64" spans="3:16" s="17" customFormat="1" ht="12.75" x14ac:dyDescent="0.2">
      <c r="C64" s="18"/>
      <c r="D64" s="20" t="s">
        <v>124</v>
      </c>
      <c r="E64" s="21" t="s">
        <v>47</v>
      </c>
      <c r="F64" s="22" t="s">
        <v>125</v>
      </c>
      <c r="G64" s="23">
        <f t="shared" si="0"/>
        <v>3.640628</v>
      </c>
      <c r="H64" s="23">
        <f>H66+H67+H68</f>
        <v>0</v>
      </c>
      <c r="I64" s="23">
        <f>I65+I67+I68</f>
        <v>0</v>
      </c>
      <c r="J64" s="23">
        <f>J65+J66+J68</f>
        <v>0.86699999999999988</v>
      </c>
      <c r="K64" s="23">
        <f>K65+K66+K67</f>
        <v>2.773628</v>
      </c>
      <c r="L64" s="19"/>
      <c r="M64" s="24"/>
      <c r="P64" s="25">
        <v>340</v>
      </c>
    </row>
    <row r="65" spans="3:16" s="17" customFormat="1" ht="12.75" x14ac:dyDescent="0.2">
      <c r="C65" s="18"/>
      <c r="D65" s="20" t="s">
        <v>126</v>
      </c>
      <c r="E65" s="26" t="s">
        <v>18</v>
      </c>
      <c r="F65" s="22" t="s">
        <v>127</v>
      </c>
      <c r="G65" s="23">
        <f t="shared" si="0"/>
        <v>0.86699999999999988</v>
      </c>
      <c r="H65" s="45"/>
      <c r="I65" s="27"/>
      <c r="J65" s="27">
        <f>H62</f>
        <v>0.86699999999999988</v>
      </c>
      <c r="K65" s="27"/>
      <c r="L65" s="19"/>
      <c r="M65" s="24"/>
      <c r="P65" s="25">
        <v>350</v>
      </c>
    </row>
    <row r="66" spans="3:16" s="17" customFormat="1" ht="12.75" x14ac:dyDescent="0.2">
      <c r="C66" s="18"/>
      <c r="D66" s="20" t="s">
        <v>128</v>
      </c>
      <c r="E66" s="26" t="s">
        <v>19</v>
      </c>
      <c r="F66" s="22" t="s">
        <v>129</v>
      </c>
      <c r="G66" s="23">
        <f t="shared" si="0"/>
        <v>0</v>
      </c>
      <c r="H66" s="27"/>
      <c r="I66" s="54"/>
      <c r="J66" s="27"/>
      <c r="K66" s="27"/>
      <c r="L66" s="19"/>
      <c r="M66" s="24"/>
      <c r="P66" s="25">
        <v>360</v>
      </c>
    </row>
    <row r="67" spans="3:16" s="17" customFormat="1" ht="12.75" x14ac:dyDescent="0.2">
      <c r="C67" s="18"/>
      <c r="D67" s="20" t="s">
        <v>130</v>
      </c>
      <c r="E67" s="26" t="s">
        <v>20</v>
      </c>
      <c r="F67" s="22" t="s">
        <v>131</v>
      </c>
      <c r="G67" s="23">
        <f t="shared" si="0"/>
        <v>2.773628</v>
      </c>
      <c r="H67" s="27"/>
      <c r="I67" s="27"/>
      <c r="J67" s="45"/>
      <c r="K67" s="27">
        <f>K73+K83</f>
        <v>2.773628</v>
      </c>
      <c r="L67" s="19"/>
      <c r="M67" s="24"/>
      <c r="P67" s="25">
        <v>370</v>
      </c>
    </row>
    <row r="68" spans="3:16" s="17" customFormat="1" ht="12.75" x14ac:dyDescent="0.2">
      <c r="C68" s="18"/>
      <c r="D68" s="20" t="s">
        <v>132</v>
      </c>
      <c r="E68" s="26" t="s">
        <v>56</v>
      </c>
      <c r="F68" s="22" t="s">
        <v>133</v>
      </c>
      <c r="G68" s="23">
        <f t="shared" si="0"/>
        <v>0</v>
      </c>
      <c r="H68" s="27"/>
      <c r="I68" s="27"/>
      <c r="J68" s="27"/>
      <c r="K68" s="45"/>
      <c r="L68" s="19"/>
      <c r="M68" s="24"/>
      <c r="P68" s="25">
        <v>380</v>
      </c>
    </row>
    <row r="69" spans="3:16" s="17" customFormat="1" ht="12.75" x14ac:dyDescent="0.2">
      <c r="C69" s="18"/>
      <c r="D69" s="20" t="s">
        <v>134</v>
      </c>
      <c r="E69" s="46" t="s">
        <v>59</v>
      </c>
      <c r="F69" s="22" t="s">
        <v>135</v>
      </c>
      <c r="G69" s="23">
        <f t="shared" si="0"/>
        <v>0</v>
      </c>
      <c r="H69" s="27"/>
      <c r="I69" s="27"/>
      <c r="J69" s="27"/>
      <c r="K69" s="27"/>
      <c r="L69" s="19"/>
      <c r="M69" s="24"/>
      <c r="P69" s="25"/>
    </row>
    <row r="70" spans="3:16" s="17" customFormat="1" ht="12.75" x14ac:dyDescent="0.2">
      <c r="C70" s="18"/>
      <c r="D70" s="20" t="s">
        <v>136</v>
      </c>
      <c r="E70" s="21" t="s">
        <v>62</v>
      </c>
      <c r="F70" s="47" t="s">
        <v>137</v>
      </c>
      <c r="G70" s="23">
        <f t="shared" si="0"/>
        <v>3.4952999999999999</v>
      </c>
      <c r="H70" s="23">
        <f>H71+H73+H76+H79</f>
        <v>0</v>
      </c>
      <c r="I70" s="23">
        <f>I71+I73+I76+I79</f>
        <v>0</v>
      </c>
      <c r="J70" s="23">
        <f>J71+J73+J76+J79</f>
        <v>0.83887199999999995</v>
      </c>
      <c r="K70" s="23">
        <f>K71+K73+K76+K79</f>
        <v>2.656428</v>
      </c>
      <c r="L70" s="19"/>
      <c r="M70" s="24"/>
      <c r="P70" s="25">
        <v>390</v>
      </c>
    </row>
    <row r="71" spans="3:16" s="17" customFormat="1" ht="22.5" x14ac:dyDescent="0.2">
      <c r="C71" s="18"/>
      <c r="D71" s="20" t="s">
        <v>138</v>
      </c>
      <c r="E71" s="26" t="s">
        <v>65</v>
      </c>
      <c r="F71" s="22" t="s">
        <v>139</v>
      </c>
      <c r="G71" s="23">
        <f t="shared" si="0"/>
        <v>0</v>
      </c>
      <c r="H71" s="27"/>
      <c r="I71" s="27"/>
      <c r="J71" s="27"/>
      <c r="K71" s="27"/>
      <c r="L71" s="19"/>
      <c r="M71" s="24"/>
      <c r="P71" s="25"/>
    </row>
    <row r="72" spans="3:16" s="17" customFormat="1" ht="12.75" x14ac:dyDescent="0.2">
      <c r="C72" s="18"/>
      <c r="D72" s="20" t="s">
        <v>140</v>
      </c>
      <c r="E72" s="48" t="s">
        <v>68</v>
      </c>
      <c r="F72" s="22" t="s">
        <v>141</v>
      </c>
      <c r="G72" s="23">
        <f t="shared" si="0"/>
        <v>0</v>
      </c>
      <c r="H72" s="27"/>
      <c r="I72" s="27"/>
      <c r="J72" s="27"/>
      <c r="K72" s="27"/>
      <c r="L72" s="19"/>
      <c r="M72" s="24"/>
      <c r="P72" s="25"/>
    </row>
    <row r="73" spans="3:16" s="17" customFormat="1" ht="12.75" x14ac:dyDescent="0.2">
      <c r="C73" s="18"/>
      <c r="D73" s="20" t="s">
        <v>142</v>
      </c>
      <c r="E73" s="26" t="s">
        <v>71</v>
      </c>
      <c r="F73" s="22" t="s">
        <v>143</v>
      </c>
      <c r="G73" s="23">
        <f t="shared" si="0"/>
        <v>3.4952999999999999</v>
      </c>
      <c r="H73" s="27">
        <v>0</v>
      </c>
      <c r="I73" s="27">
        <v>0</v>
      </c>
      <c r="J73" s="27">
        <f>3.4953*0.24</f>
        <v>0.83887199999999995</v>
      </c>
      <c r="K73" s="27">
        <f>3.4953-J73</f>
        <v>2.656428</v>
      </c>
      <c r="L73" s="19"/>
      <c r="M73" s="24"/>
      <c r="P73" s="25"/>
    </row>
    <row r="74" spans="3:16" s="17" customFormat="1" ht="12.75" x14ac:dyDescent="0.2">
      <c r="C74" s="18"/>
      <c r="D74" s="20" t="s">
        <v>144</v>
      </c>
      <c r="E74" s="48" t="s">
        <v>74</v>
      </c>
      <c r="F74" s="22" t="s">
        <v>145</v>
      </c>
      <c r="G74" s="23">
        <f t="shared" si="0"/>
        <v>0</v>
      </c>
      <c r="H74" s="27"/>
      <c r="I74" s="27"/>
      <c r="J74" s="27"/>
      <c r="K74" s="27"/>
      <c r="L74" s="19"/>
      <c r="M74" s="24"/>
      <c r="P74" s="25"/>
    </row>
    <row r="75" spans="3:16" s="17" customFormat="1" ht="12.75" x14ac:dyDescent="0.2">
      <c r="C75" s="18"/>
      <c r="D75" s="20" t="s">
        <v>146</v>
      </c>
      <c r="E75" s="49" t="s">
        <v>68</v>
      </c>
      <c r="F75" s="22" t="s">
        <v>147</v>
      </c>
      <c r="G75" s="23">
        <f t="shared" si="0"/>
        <v>0</v>
      </c>
      <c r="H75" s="27"/>
      <c r="I75" s="27"/>
      <c r="J75" s="27"/>
      <c r="K75" s="27"/>
      <c r="L75" s="19"/>
      <c r="M75" s="24"/>
      <c r="P75" s="25"/>
    </row>
    <row r="76" spans="3:16" s="17" customFormat="1" ht="12.75" x14ac:dyDescent="0.2">
      <c r="C76" s="18"/>
      <c r="D76" s="20" t="s">
        <v>148</v>
      </c>
      <c r="E76" s="26" t="s">
        <v>79</v>
      </c>
      <c r="F76" s="22" t="s">
        <v>149</v>
      </c>
      <c r="G76" s="23">
        <f t="shared" si="0"/>
        <v>0</v>
      </c>
      <c r="H76" s="23">
        <f>SUM(H77:H78)</f>
        <v>0</v>
      </c>
      <c r="I76" s="23">
        <f>SUM(I77:I78)</f>
        <v>0</v>
      </c>
      <c r="J76" s="23">
        <f>SUM(J77:J78)</f>
        <v>0</v>
      </c>
      <c r="K76" s="23">
        <f>SUM(K77:K78)</f>
        <v>0</v>
      </c>
      <c r="L76" s="19"/>
      <c r="M76" s="24"/>
      <c r="P76" s="25"/>
    </row>
    <row r="77" spans="3:16" s="17" customFormat="1" ht="12.75" x14ac:dyDescent="0.2">
      <c r="C77" s="18"/>
      <c r="D77" s="28" t="s">
        <v>150</v>
      </c>
      <c r="E77" s="29"/>
      <c r="F77" s="30" t="s">
        <v>149</v>
      </c>
      <c r="G77" s="31"/>
      <c r="H77" s="31"/>
      <c r="I77" s="31"/>
      <c r="J77" s="31"/>
      <c r="K77" s="31"/>
      <c r="L77" s="19"/>
      <c r="M77" s="24"/>
      <c r="P77" s="25"/>
    </row>
    <row r="78" spans="3:16" s="17" customFormat="1" ht="12.75" x14ac:dyDescent="0.2">
      <c r="C78" s="18"/>
      <c r="D78" s="32"/>
      <c r="E78" s="33" t="s">
        <v>31</v>
      </c>
      <c r="F78" s="34"/>
      <c r="G78" s="34"/>
      <c r="H78" s="34"/>
      <c r="I78" s="34"/>
      <c r="J78" s="34"/>
      <c r="K78" s="35"/>
      <c r="L78" s="19"/>
      <c r="M78" s="24"/>
      <c r="P78" s="25"/>
    </row>
    <row r="79" spans="3:16" s="17" customFormat="1" ht="12.75" x14ac:dyDescent="0.2">
      <c r="C79" s="18"/>
      <c r="D79" s="20" t="s">
        <v>151</v>
      </c>
      <c r="E79" s="51" t="s">
        <v>83</v>
      </c>
      <c r="F79" s="22" t="s">
        <v>152</v>
      </c>
      <c r="G79" s="23">
        <f t="shared" si="0"/>
        <v>0</v>
      </c>
      <c r="H79" s="27"/>
      <c r="I79" s="27"/>
      <c r="J79" s="27"/>
      <c r="K79" s="27"/>
      <c r="L79" s="19"/>
      <c r="M79" s="24"/>
      <c r="P79" s="25">
        <v>410</v>
      </c>
    </row>
    <row r="80" spans="3:16" s="17" customFormat="1" ht="12.75" x14ac:dyDescent="0.2">
      <c r="C80" s="18"/>
      <c r="D80" s="20" t="s">
        <v>153</v>
      </c>
      <c r="E80" s="21" t="s">
        <v>86</v>
      </c>
      <c r="F80" s="22" t="s">
        <v>154</v>
      </c>
      <c r="G80" s="23">
        <f t="shared" si="0"/>
        <v>3.640628</v>
      </c>
      <c r="H80" s="27">
        <f>H62</f>
        <v>0.86699999999999988</v>
      </c>
      <c r="I80" s="27"/>
      <c r="J80" s="27">
        <f>K67</f>
        <v>2.773628</v>
      </c>
      <c r="K80" s="27"/>
      <c r="L80" s="19"/>
      <c r="M80" s="24"/>
      <c r="P80" s="25">
        <v>440</v>
      </c>
    </row>
    <row r="81" spans="3:16" s="17" customFormat="1" ht="12.75" x14ac:dyDescent="0.2">
      <c r="C81" s="18"/>
      <c r="D81" s="20" t="s">
        <v>155</v>
      </c>
      <c r="E81" s="21" t="s">
        <v>89</v>
      </c>
      <c r="F81" s="22" t="s">
        <v>156</v>
      </c>
      <c r="G81" s="23">
        <f t="shared" si="0"/>
        <v>0</v>
      </c>
      <c r="H81" s="27"/>
      <c r="I81" s="27"/>
      <c r="J81" s="27"/>
      <c r="K81" s="27"/>
      <c r="L81" s="19"/>
      <c r="M81" s="24"/>
      <c r="P81" s="25">
        <v>450</v>
      </c>
    </row>
    <row r="82" spans="3:16" s="17" customFormat="1" ht="12.75" x14ac:dyDescent="0.2">
      <c r="C82" s="18"/>
      <c r="D82" s="20" t="s">
        <v>157</v>
      </c>
      <c r="E82" s="21" t="s">
        <v>92</v>
      </c>
      <c r="F82" s="22" t="s">
        <v>158</v>
      </c>
      <c r="G82" s="23">
        <f t="shared" si="0"/>
        <v>0</v>
      </c>
      <c r="H82" s="27"/>
      <c r="I82" s="27"/>
      <c r="J82" s="27"/>
      <c r="K82" s="27"/>
      <c r="L82" s="19"/>
      <c r="M82" s="24"/>
      <c r="P82" s="25">
        <v>470</v>
      </c>
    </row>
    <row r="83" spans="3:16" s="17" customFormat="1" ht="12.75" x14ac:dyDescent="0.2">
      <c r="C83" s="18"/>
      <c r="D83" s="20" t="s">
        <v>159</v>
      </c>
      <c r="E83" s="21" t="s">
        <v>95</v>
      </c>
      <c r="F83" s="22" t="s">
        <v>160</v>
      </c>
      <c r="G83" s="23">
        <f t="shared" si="0"/>
        <v>0.11719999999999997</v>
      </c>
      <c r="H83" s="27"/>
      <c r="I83" s="27"/>
      <c r="J83" s="27"/>
      <c r="K83" s="27">
        <f>G62-G73</f>
        <v>0.11719999999999997</v>
      </c>
      <c r="L83" s="19"/>
      <c r="M83" s="24"/>
      <c r="P83" s="25">
        <v>480</v>
      </c>
    </row>
    <row r="84" spans="3:16" s="17" customFormat="1" ht="12.75" x14ac:dyDescent="0.2">
      <c r="C84" s="18"/>
      <c r="D84" s="20" t="s">
        <v>161</v>
      </c>
      <c r="E84" s="26" t="s">
        <v>162</v>
      </c>
      <c r="F84" s="22" t="s">
        <v>163</v>
      </c>
      <c r="G84" s="23">
        <f t="shared" si="0"/>
        <v>0</v>
      </c>
      <c r="H84" s="27"/>
      <c r="I84" s="27"/>
      <c r="J84" s="27"/>
      <c r="K84" s="27"/>
      <c r="L84" s="19"/>
      <c r="M84" s="24"/>
      <c r="P84" s="25">
        <v>490</v>
      </c>
    </row>
    <row r="85" spans="3:16" s="17" customFormat="1" ht="12.75" x14ac:dyDescent="0.2">
      <c r="C85" s="18"/>
      <c r="D85" s="20" t="s">
        <v>164</v>
      </c>
      <c r="E85" s="21" t="s">
        <v>101</v>
      </c>
      <c r="F85" s="22" t="s">
        <v>165</v>
      </c>
      <c r="G85" s="23">
        <f t="shared" si="0"/>
        <v>0.1172</v>
      </c>
      <c r="H85" s="27"/>
      <c r="I85" s="27"/>
      <c r="J85" s="27"/>
      <c r="K85" s="27">
        <v>0.1172</v>
      </c>
      <c r="L85" s="19"/>
      <c r="M85" s="24"/>
      <c r="P85" s="25"/>
    </row>
    <row r="86" spans="3:16" s="17" customFormat="1" ht="22.5" x14ac:dyDescent="0.2">
      <c r="C86" s="18"/>
      <c r="D86" s="20" t="s">
        <v>166</v>
      </c>
      <c r="E86" s="46" t="s">
        <v>104</v>
      </c>
      <c r="F86" s="22" t="s">
        <v>167</v>
      </c>
      <c r="G86" s="23">
        <f t="shared" si="0"/>
        <v>0</v>
      </c>
      <c r="H86" s="23">
        <f>H83-H85</f>
        <v>0</v>
      </c>
      <c r="I86" s="23">
        <f>I83-I85</f>
        <v>0</v>
      </c>
      <c r="J86" s="23">
        <f>J83-J85</f>
        <v>0</v>
      </c>
      <c r="K86" s="23">
        <f>K83-K85</f>
        <v>0</v>
      </c>
      <c r="L86" s="19"/>
      <c r="M86" s="24"/>
      <c r="P86" s="25"/>
    </row>
    <row r="87" spans="3:16" s="17" customFormat="1" ht="12.75" x14ac:dyDescent="0.2">
      <c r="C87" s="18"/>
      <c r="D87" s="20" t="s">
        <v>168</v>
      </c>
      <c r="E87" s="21" t="s">
        <v>107</v>
      </c>
      <c r="F87" s="22" t="s">
        <v>169</v>
      </c>
      <c r="G87" s="23">
        <f t="shared" si="0"/>
        <v>0</v>
      </c>
      <c r="H87" s="23">
        <f>(H52+H64+H69)-(H70+H80+H81+H82+H83)</f>
        <v>0</v>
      </c>
      <c r="I87" s="23">
        <f>(I52+I64+I69)-(I70+I80+I81+I82+I83)</f>
        <v>0</v>
      </c>
      <c r="J87" s="23">
        <f>(J52+J64+J69)-(J70+J80+J81+J82+J83)</f>
        <v>0</v>
      </c>
      <c r="K87" s="23">
        <f>(K52+K64+K69)-(K70+K80+K81+K82+K83)</f>
        <v>0</v>
      </c>
      <c r="L87" s="19"/>
      <c r="M87" s="24"/>
      <c r="P87" s="25">
        <v>500</v>
      </c>
    </row>
    <row r="88" spans="3:16" s="17" customFormat="1" ht="12.75" x14ac:dyDescent="0.2">
      <c r="C88" s="18"/>
      <c r="D88" s="87" t="s">
        <v>170</v>
      </c>
      <c r="E88" s="88"/>
      <c r="F88" s="88"/>
      <c r="G88" s="88"/>
      <c r="H88" s="88"/>
      <c r="I88" s="88"/>
      <c r="J88" s="88"/>
      <c r="K88" s="89"/>
      <c r="L88" s="19"/>
      <c r="M88" s="24"/>
      <c r="P88" s="36"/>
    </row>
    <row r="89" spans="3:16" s="17" customFormat="1" ht="12.75" x14ac:dyDescent="0.2">
      <c r="C89" s="18"/>
      <c r="D89" s="20" t="s">
        <v>171</v>
      </c>
      <c r="E89" s="21" t="s">
        <v>172</v>
      </c>
      <c r="F89" s="22" t="s">
        <v>173</v>
      </c>
      <c r="G89" s="23">
        <f t="shared" si="0"/>
        <v>3.4952999999999999</v>
      </c>
      <c r="H89" s="27"/>
      <c r="I89" s="27"/>
      <c r="J89" s="42">
        <f>J73</f>
        <v>0.83887199999999995</v>
      </c>
      <c r="K89" s="42">
        <f>K73</f>
        <v>2.656428</v>
      </c>
      <c r="L89" s="19"/>
      <c r="M89" s="24"/>
      <c r="P89" s="25">
        <v>600</v>
      </c>
    </row>
    <row r="90" spans="3:16" s="17" customFormat="1" ht="12.75" x14ac:dyDescent="0.2">
      <c r="C90" s="18"/>
      <c r="D90" s="20" t="s">
        <v>174</v>
      </c>
      <c r="E90" s="21" t="s">
        <v>175</v>
      </c>
      <c r="F90" s="22" t="s">
        <v>176</v>
      </c>
      <c r="G90" s="23">
        <f t="shared" si="0"/>
        <v>0</v>
      </c>
      <c r="H90" s="27"/>
      <c r="I90" s="27"/>
      <c r="J90" s="27"/>
      <c r="K90" s="27"/>
      <c r="L90" s="19"/>
      <c r="M90" s="24"/>
      <c r="P90" s="25">
        <v>610</v>
      </c>
    </row>
    <row r="91" spans="3:16" s="17" customFormat="1" ht="12.75" x14ac:dyDescent="0.2">
      <c r="C91" s="18"/>
      <c r="D91" s="20" t="s">
        <v>177</v>
      </c>
      <c r="E91" s="21" t="s">
        <v>178</v>
      </c>
      <c r="F91" s="22" t="s">
        <v>179</v>
      </c>
      <c r="G91" s="23">
        <f t="shared" si="0"/>
        <v>0</v>
      </c>
      <c r="H91" s="27"/>
      <c r="I91" s="27"/>
      <c r="J91" s="27"/>
      <c r="K91" s="27"/>
      <c r="L91" s="19"/>
      <c r="M91" s="24"/>
      <c r="P91" s="25">
        <v>620</v>
      </c>
    </row>
    <row r="92" spans="3:16" s="17" customFormat="1" ht="12.75" x14ac:dyDescent="0.2">
      <c r="C92" s="18"/>
      <c r="D92" s="87" t="s">
        <v>180</v>
      </c>
      <c r="E92" s="88"/>
      <c r="F92" s="88"/>
      <c r="G92" s="88"/>
      <c r="H92" s="88"/>
      <c r="I92" s="88"/>
      <c r="J92" s="88"/>
      <c r="K92" s="89"/>
      <c r="L92" s="19"/>
      <c r="M92" s="24"/>
      <c r="P92" s="36"/>
    </row>
    <row r="93" spans="3:16" s="17" customFormat="1" ht="12.75" x14ac:dyDescent="0.2">
      <c r="C93" s="18"/>
      <c r="D93" s="20" t="s">
        <v>181</v>
      </c>
      <c r="E93" s="21" t="s">
        <v>182</v>
      </c>
      <c r="F93" s="22" t="s">
        <v>183</v>
      </c>
      <c r="G93" s="23">
        <f t="shared" si="0"/>
        <v>0</v>
      </c>
      <c r="H93" s="23">
        <f>SUM(H94:H95)</f>
        <v>0</v>
      </c>
      <c r="I93" s="23">
        <f>SUM(I94:I95)</f>
        <v>0</v>
      </c>
      <c r="J93" s="23">
        <f>SUM(J94:J95)</f>
        <v>0</v>
      </c>
      <c r="K93" s="23">
        <f>SUM(K94:K95)</f>
        <v>0</v>
      </c>
      <c r="L93" s="19"/>
      <c r="M93" s="24"/>
      <c r="P93" s="25">
        <v>700</v>
      </c>
    </row>
    <row r="94" spans="3:16" ht="12.75" x14ac:dyDescent="0.2">
      <c r="C94" s="6"/>
      <c r="D94" s="55" t="s">
        <v>184</v>
      </c>
      <c r="E94" s="26" t="s">
        <v>185</v>
      </c>
      <c r="F94" s="22" t="s">
        <v>186</v>
      </c>
      <c r="G94" s="23">
        <f t="shared" si="0"/>
        <v>0</v>
      </c>
      <c r="H94" s="56"/>
      <c r="I94" s="56"/>
      <c r="J94" s="56"/>
      <c r="K94" s="56"/>
      <c r="L94" s="13"/>
      <c r="M94" s="24"/>
      <c r="P94" s="25">
        <v>710</v>
      </c>
    </row>
    <row r="95" spans="3:16" ht="12.75" x14ac:dyDescent="0.2">
      <c r="C95" s="6"/>
      <c r="D95" s="55" t="s">
        <v>187</v>
      </c>
      <c r="E95" s="26" t="s">
        <v>188</v>
      </c>
      <c r="F95" s="22" t="s">
        <v>189</v>
      </c>
      <c r="G95" s="23">
        <f t="shared" si="0"/>
        <v>0</v>
      </c>
      <c r="H95" s="57">
        <f>H98</f>
        <v>0</v>
      </c>
      <c r="I95" s="57">
        <f>I98</f>
        <v>0</v>
      </c>
      <c r="J95" s="57">
        <f>J98</f>
        <v>0</v>
      </c>
      <c r="K95" s="57">
        <f>K98</f>
        <v>0</v>
      </c>
      <c r="L95" s="13"/>
      <c r="M95" s="24"/>
      <c r="P95" s="25">
        <v>720</v>
      </c>
    </row>
    <row r="96" spans="3:16" ht="12.75" x14ac:dyDescent="0.2">
      <c r="C96" s="6"/>
      <c r="D96" s="55" t="s">
        <v>190</v>
      </c>
      <c r="E96" s="48" t="s">
        <v>191</v>
      </c>
      <c r="F96" s="22" t="s">
        <v>192</v>
      </c>
      <c r="G96" s="23">
        <f t="shared" si="0"/>
        <v>0</v>
      </c>
      <c r="H96" s="56"/>
      <c r="I96" s="56"/>
      <c r="J96" s="56"/>
      <c r="K96" s="56"/>
      <c r="L96" s="13"/>
      <c r="M96" s="24"/>
      <c r="P96" s="25">
        <v>730</v>
      </c>
    </row>
    <row r="97" spans="3:16" ht="12.75" x14ac:dyDescent="0.2">
      <c r="C97" s="6"/>
      <c r="D97" s="55" t="s">
        <v>193</v>
      </c>
      <c r="E97" s="49" t="s">
        <v>194</v>
      </c>
      <c r="F97" s="22" t="s">
        <v>195</v>
      </c>
      <c r="G97" s="23">
        <f t="shared" si="0"/>
        <v>0</v>
      </c>
      <c r="H97" s="56"/>
      <c r="I97" s="56"/>
      <c r="J97" s="56"/>
      <c r="K97" s="56"/>
      <c r="L97" s="13"/>
      <c r="M97" s="24"/>
      <c r="P97" s="25"/>
    </row>
    <row r="98" spans="3:16" ht="12.75" x14ac:dyDescent="0.2">
      <c r="C98" s="6"/>
      <c r="D98" s="55" t="s">
        <v>196</v>
      </c>
      <c r="E98" s="48" t="s">
        <v>197</v>
      </c>
      <c r="F98" s="22" t="s">
        <v>198</v>
      </c>
      <c r="G98" s="23">
        <f t="shared" si="0"/>
        <v>0</v>
      </c>
      <c r="H98" s="56"/>
      <c r="I98" s="56"/>
      <c r="J98" s="56"/>
      <c r="K98" s="56"/>
      <c r="L98" s="13"/>
      <c r="M98" s="24"/>
      <c r="P98" s="25">
        <v>740</v>
      </c>
    </row>
    <row r="99" spans="3:16" ht="12.75" x14ac:dyDescent="0.2">
      <c r="C99" s="6"/>
      <c r="D99" s="55" t="s">
        <v>199</v>
      </c>
      <c r="E99" s="21" t="s">
        <v>200</v>
      </c>
      <c r="F99" s="22" t="s">
        <v>201</v>
      </c>
      <c r="G99" s="23">
        <f t="shared" si="0"/>
        <v>0</v>
      </c>
      <c r="H99" s="57">
        <f>H100+H116</f>
        <v>0</v>
      </c>
      <c r="I99" s="57">
        <f>I100+I116</f>
        <v>0</v>
      </c>
      <c r="J99" s="57">
        <f>J100+J116</f>
        <v>0</v>
      </c>
      <c r="K99" s="57">
        <f>K100+K116</f>
        <v>0</v>
      </c>
      <c r="L99" s="13"/>
      <c r="M99" s="24"/>
      <c r="P99" s="25">
        <v>750</v>
      </c>
    </row>
    <row r="100" spans="3:16" ht="12.75" x14ac:dyDescent="0.2">
      <c r="C100" s="6"/>
      <c r="D100" s="55" t="s">
        <v>202</v>
      </c>
      <c r="E100" s="26" t="s">
        <v>203</v>
      </c>
      <c r="F100" s="22" t="s">
        <v>204</v>
      </c>
      <c r="G100" s="23">
        <f t="shared" si="0"/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57">
        <f>K101+K102</f>
        <v>0</v>
      </c>
      <c r="L100" s="13"/>
      <c r="M100" s="24"/>
      <c r="P100" s="25">
        <v>760</v>
      </c>
    </row>
    <row r="101" spans="3:16" ht="12.75" x14ac:dyDescent="0.2">
      <c r="C101" s="6"/>
      <c r="D101" s="55" t="s">
        <v>205</v>
      </c>
      <c r="E101" s="48" t="s">
        <v>206</v>
      </c>
      <c r="F101" s="22" t="s">
        <v>207</v>
      </c>
      <c r="G101" s="23">
        <f t="shared" si="0"/>
        <v>0</v>
      </c>
      <c r="H101" s="56"/>
      <c r="I101" s="56"/>
      <c r="J101" s="56"/>
      <c r="K101" s="56"/>
      <c r="L101" s="13"/>
      <c r="M101" s="24"/>
      <c r="P101" s="25"/>
    </row>
    <row r="102" spans="3:16" ht="12.75" x14ac:dyDescent="0.2">
      <c r="C102" s="6"/>
      <c r="D102" s="55" t="s">
        <v>208</v>
      </c>
      <c r="E102" s="48" t="s">
        <v>209</v>
      </c>
      <c r="F102" s="22" t="s">
        <v>210</v>
      </c>
      <c r="G102" s="23">
        <f t="shared" si="0"/>
        <v>0</v>
      </c>
      <c r="H102" s="57">
        <f>H103+H106+H109+H112+H113+H114+H115</f>
        <v>0</v>
      </c>
      <c r="I102" s="57">
        <f>I103+I106+I109+I112+I113+I114+I115</f>
        <v>0</v>
      </c>
      <c r="J102" s="57">
        <f>J103+J106+J109+J112+J113+J114+J115</f>
        <v>0</v>
      </c>
      <c r="K102" s="57">
        <f>K103+K106+K109+K112+K113+K114+K115</f>
        <v>0</v>
      </c>
      <c r="L102" s="13"/>
      <c r="M102" s="24"/>
      <c r="P102" s="25"/>
    </row>
    <row r="103" spans="3:16" ht="33.75" x14ac:dyDescent="0.2">
      <c r="C103" s="6"/>
      <c r="D103" s="55" t="s">
        <v>211</v>
      </c>
      <c r="E103" s="49" t="s">
        <v>212</v>
      </c>
      <c r="F103" s="22" t="s">
        <v>213</v>
      </c>
      <c r="G103" s="23">
        <f t="shared" si="0"/>
        <v>0</v>
      </c>
      <c r="H103" s="58">
        <f>H104+H105</f>
        <v>0</v>
      </c>
      <c r="I103" s="58">
        <f>I104+I105</f>
        <v>0</v>
      </c>
      <c r="J103" s="58">
        <f>J104+J105</f>
        <v>0</v>
      </c>
      <c r="K103" s="58">
        <f>K104+K105</f>
        <v>0</v>
      </c>
      <c r="L103" s="13"/>
      <c r="M103" s="24"/>
      <c r="P103" s="25"/>
    </row>
    <row r="104" spans="3:16" ht="12.75" x14ac:dyDescent="0.2">
      <c r="C104" s="6"/>
      <c r="D104" s="55" t="s">
        <v>214</v>
      </c>
      <c r="E104" s="59" t="s">
        <v>215</v>
      </c>
      <c r="F104" s="22" t="s">
        <v>216</v>
      </c>
      <c r="G104" s="23">
        <f t="shared" si="0"/>
        <v>0</v>
      </c>
      <c r="H104" s="56"/>
      <c r="I104" s="56"/>
      <c r="J104" s="56"/>
      <c r="K104" s="56"/>
      <c r="L104" s="13"/>
      <c r="M104" s="24"/>
      <c r="P104" s="25"/>
    </row>
    <row r="105" spans="3:16" ht="12.75" x14ac:dyDescent="0.2">
      <c r="C105" s="6"/>
      <c r="D105" s="55" t="s">
        <v>217</v>
      </c>
      <c r="E105" s="59" t="s">
        <v>218</v>
      </c>
      <c r="F105" s="22" t="s">
        <v>219</v>
      </c>
      <c r="G105" s="23">
        <f t="shared" si="0"/>
        <v>0</v>
      </c>
      <c r="H105" s="56"/>
      <c r="I105" s="56"/>
      <c r="J105" s="56"/>
      <c r="K105" s="56"/>
      <c r="L105" s="13"/>
      <c r="M105" s="24"/>
      <c r="P105" s="25"/>
    </row>
    <row r="106" spans="3:16" ht="33.75" x14ac:dyDescent="0.2">
      <c r="C106" s="6"/>
      <c r="D106" s="55" t="s">
        <v>220</v>
      </c>
      <c r="E106" s="49" t="s">
        <v>221</v>
      </c>
      <c r="F106" s="22" t="s">
        <v>222</v>
      </c>
      <c r="G106" s="23">
        <f t="shared" si="0"/>
        <v>0</v>
      </c>
      <c r="H106" s="58">
        <f>H107+H108</f>
        <v>0</v>
      </c>
      <c r="I106" s="58">
        <f>I107+I108</f>
        <v>0</v>
      </c>
      <c r="J106" s="58">
        <f>J107+J108</f>
        <v>0</v>
      </c>
      <c r="K106" s="58">
        <f>K107+K108</f>
        <v>0</v>
      </c>
      <c r="L106" s="13"/>
      <c r="M106" s="24"/>
      <c r="P106" s="25"/>
    </row>
    <row r="107" spans="3:16" ht="12.75" x14ac:dyDescent="0.2">
      <c r="C107" s="6"/>
      <c r="D107" s="55" t="s">
        <v>223</v>
      </c>
      <c r="E107" s="59" t="s">
        <v>215</v>
      </c>
      <c r="F107" s="22" t="s">
        <v>224</v>
      </c>
      <c r="G107" s="23">
        <f t="shared" si="0"/>
        <v>0</v>
      </c>
      <c r="H107" s="56"/>
      <c r="I107" s="56"/>
      <c r="J107" s="56"/>
      <c r="K107" s="56"/>
      <c r="L107" s="13"/>
      <c r="M107" s="24"/>
      <c r="P107" s="25"/>
    </row>
    <row r="108" spans="3:16" ht="12.75" x14ac:dyDescent="0.2">
      <c r="C108" s="6"/>
      <c r="D108" s="55" t="s">
        <v>225</v>
      </c>
      <c r="E108" s="59" t="s">
        <v>218</v>
      </c>
      <c r="F108" s="22" t="s">
        <v>226</v>
      </c>
      <c r="G108" s="23">
        <f t="shared" si="0"/>
        <v>0</v>
      </c>
      <c r="H108" s="56"/>
      <c r="I108" s="56"/>
      <c r="J108" s="56"/>
      <c r="K108" s="56"/>
      <c r="L108" s="13"/>
      <c r="M108" s="24"/>
      <c r="P108" s="25"/>
    </row>
    <row r="109" spans="3:16" ht="22.5" x14ac:dyDescent="0.2">
      <c r="C109" s="6"/>
      <c r="D109" s="55" t="s">
        <v>227</v>
      </c>
      <c r="E109" s="49" t="s">
        <v>228</v>
      </c>
      <c r="F109" s="22" t="s">
        <v>229</v>
      </c>
      <c r="G109" s="23">
        <f t="shared" si="0"/>
        <v>0</v>
      </c>
      <c r="H109" s="58">
        <f>H110+H111</f>
        <v>0</v>
      </c>
      <c r="I109" s="58">
        <f>I110+I111</f>
        <v>0</v>
      </c>
      <c r="J109" s="58">
        <f>J110+J111</f>
        <v>0</v>
      </c>
      <c r="K109" s="58">
        <f>K110+K111</f>
        <v>0</v>
      </c>
      <c r="L109" s="13"/>
      <c r="M109" s="24"/>
      <c r="P109" s="25"/>
    </row>
    <row r="110" spans="3:16" ht="12.75" x14ac:dyDescent="0.2">
      <c r="C110" s="6"/>
      <c r="D110" s="55" t="s">
        <v>230</v>
      </c>
      <c r="E110" s="59" t="s">
        <v>215</v>
      </c>
      <c r="F110" s="22" t="s">
        <v>231</v>
      </c>
      <c r="G110" s="23">
        <f t="shared" si="0"/>
        <v>0</v>
      </c>
      <c r="H110" s="56"/>
      <c r="I110" s="56"/>
      <c r="J110" s="56"/>
      <c r="K110" s="56"/>
      <c r="L110" s="13"/>
      <c r="M110" s="24"/>
      <c r="P110" s="25"/>
    </row>
    <row r="111" spans="3:16" ht="12.75" x14ac:dyDescent="0.2">
      <c r="C111" s="6"/>
      <c r="D111" s="55" t="s">
        <v>232</v>
      </c>
      <c r="E111" s="59" t="s">
        <v>218</v>
      </c>
      <c r="F111" s="22" t="s">
        <v>233</v>
      </c>
      <c r="G111" s="23">
        <f t="shared" si="0"/>
        <v>0</v>
      </c>
      <c r="H111" s="56"/>
      <c r="I111" s="56"/>
      <c r="J111" s="56"/>
      <c r="K111" s="56"/>
      <c r="L111" s="13"/>
      <c r="M111" s="24"/>
      <c r="P111" s="25"/>
    </row>
    <row r="112" spans="3:16" ht="12.75" x14ac:dyDescent="0.2">
      <c r="C112" s="6"/>
      <c r="D112" s="55" t="s">
        <v>234</v>
      </c>
      <c r="E112" s="49" t="s">
        <v>235</v>
      </c>
      <c r="F112" s="22" t="s">
        <v>236</v>
      </c>
      <c r="G112" s="23">
        <f t="shared" si="0"/>
        <v>0</v>
      </c>
      <c r="H112" s="56"/>
      <c r="I112" s="56"/>
      <c r="J112" s="56"/>
      <c r="K112" s="56"/>
      <c r="L112" s="13"/>
      <c r="M112" s="24"/>
      <c r="P112" s="25"/>
    </row>
    <row r="113" spans="3:16" ht="12.75" x14ac:dyDescent="0.2">
      <c r="C113" s="6"/>
      <c r="D113" s="55" t="s">
        <v>237</v>
      </c>
      <c r="E113" s="49" t="s">
        <v>238</v>
      </c>
      <c r="F113" s="22" t="s">
        <v>239</v>
      </c>
      <c r="G113" s="23">
        <f t="shared" si="0"/>
        <v>0</v>
      </c>
      <c r="H113" s="56"/>
      <c r="I113" s="56"/>
      <c r="J113" s="56"/>
      <c r="K113" s="56"/>
      <c r="L113" s="13"/>
      <c r="M113" s="24"/>
      <c r="P113" s="25"/>
    </row>
    <row r="114" spans="3:16" ht="33.75" x14ac:dyDescent="0.2">
      <c r="C114" s="6"/>
      <c r="D114" s="55" t="s">
        <v>240</v>
      </c>
      <c r="E114" s="49" t="s">
        <v>241</v>
      </c>
      <c r="F114" s="22" t="s">
        <v>242</v>
      </c>
      <c r="G114" s="23">
        <f t="shared" si="0"/>
        <v>0</v>
      </c>
      <c r="H114" s="56"/>
      <c r="I114" s="56"/>
      <c r="J114" s="56"/>
      <c r="K114" s="56"/>
      <c r="L114" s="13"/>
      <c r="M114" s="24"/>
      <c r="P114" s="25"/>
    </row>
    <row r="115" spans="3:16" ht="22.5" x14ac:dyDescent="0.2">
      <c r="C115" s="6"/>
      <c r="D115" s="55" t="s">
        <v>243</v>
      </c>
      <c r="E115" s="49" t="s">
        <v>244</v>
      </c>
      <c r="F115" s="22" t="s">
        <v>245</v>
      </c>
      <c r="G115" s="23">
        <f t="shared" si="0"/>
        <v>0</v>
      </c>
      <c r="H115" s="56"/>
      <c r="I115" s="56"/>
      <c r="J115" s="56"/>
      <c r="K115" s="56"/>
      <c r="L115" s="13"/>
      <c r="M115" s="24"/>
      <c r="P115" s="25"/>
    </row>
    <row r="116" spans="3:16" ht="12.75" x14ac:dyDescent="0.2">
      <c r="C116" s="6"/>
      <c r="D116" s="55" t="s">
        <v>246</v>
      </c>
      <c r="E116" s="26" t="s">
        <v>247</v>
      </c>
      <c r="F116" s="22" t="s">
        <v>248</v>
      </c>
      <c r="G116" s="23">
        <f t="shared" si="0"/>
        <v>0</v>
      </c>
      <c r="H116" s="57">
        <f>H119</f>
        <v>0</v>
      </c>
      <c r="I116" s="57">
        <f>I119</f>
        <v>0</v>
      </c>
      <c r="J116" s="57">
        <f>J119</f>
        <v>0</v>
      </c>
      <c r="K116" s="57">
        <f>K119</f>
        <v>0</v>
      </c>
      <c r="L116" s="13"/>
      <c r="M116" s="24"/>
      <c r="P116" s="25">
        <v>770</v>
      </c>
    </row>
    <row r="117" spans="3:16" ht="12.75" x14ac:dyDescent="0.2">
      <c r="C117" s="6"/>
      <c r="D117" s="55" t="s">
        <v>249</v>
      </c>
      <c r="E117" s="48" t="s">
        <v>191</v>
      </c>
      <c r="F117" s="22" t="s">
        <v>250</v>
      </c>
      <c r="G117" s="23">
        <f t="shared" si="0"/>
        <v>0</v>
      </c>
      <c r="H117" s="56"/>
      <c r="I117" s="56"/>
      <c r="J117" s="56"/>
      <c r="K117" s="56"/>
      <c r="L117" s="13"/>
      <c r="M117" s="24"/>
      <c r="P117" s="25">
        <v>780</v>
      </c>
    </row>
    <row r="118" spans="3:16" ht="12.75" x14ac:dyDescent="0.2">
      <c r="C118" s="6"/>
      <c r="D118" s="55" t="s">
        <v>251</v>
      </c>
      <c r="E118" s="49" t="s">
        <v>252</v>
      </c>
      <c r="F118" s="22" t="s">
        <v>253</v>
      </c>
      <c r="G118" s="23">
        <f t="shared" si="0"/>
        <v>0</v>
      </c>
      <c r="H118" s="56"/>
      <c r="I118" s="56"/>
      <c r="J118" s="56"/>
      <c r="K118" s="56"/>
      <c r="L118" s="13"/>
      <c r="M118" s="24"/>
      <c r="P118" s="25"/>
    </row>
    <row r="119" spans="3:16" ht="12.75" x14ac:dyDescent="0.2">
      <c r="C119" s="6"/>
      <c r="D119" s="55" t="s">
        <v>254</v>
      </c>
      <c r="E119" s="48" t="s">
        <v>197</v>
      </c>
      <c r="F119" s="22" t="s">
        <v>255</v>
      </c>
      <c r="G119" s="23">
        <f t="shared" si="0"/>
        <v>0</v>
      </c>
      <c r="H119" s="56"/>
      <c r="I119" s="56"/>
      <c r="J119" s="56"/>
      <c r="K119" s="56"/>
      <c r="L119" s="13"/>
      <c r="M119" s="24"/>
      <c r="P119" s="25">
        <v>790</v>
      </c>
    </row>
    <row r="120" spans="3:16" ht="12.75" x14ac:dyDescent="0.2">
      <c r="C120" s="6"/>
      <c r="D120" s="55" t="s">
        <v>256</v>
      </c>
      <c r="E120" s="46" t="s">
        <v>257</v>
      </c>
      <c r="F120" s="22" t="s">
        <v>258</v>
      </c>
      <c r="G120" s="23">
        <f t="shared" si="0"/>
        <v>1592.2629999999999</v>
      </c>
      <c r="H120" s="57">
        <f>SUM(H121:H122)</f>
        <v>0</v>
      </c>
      <c r="I120" s="57">
        <f>SUM(I121:I122)</f>
        <v>0</v>
      </c>
      <c r="J120" s="57">
        <f>SUM(J121:J122)</f>
        <v>160.25899999999999</v>
      </c>
      <c r="K120" s="57">
        <f>SUM(K121:K122)</f>
        <v>1432.0039999999999</v>
      </c>
      <c r="L120" s="13"/>
      <c r="M120" s="24"/>
      <c r="P120" s="25"/>
    </row>
    <row r="121" spans="3:16" ht="12.75" x14ac:dyDescent="0.2">
      <c r="C121" s="6"/>
      <c r="D121" s="55" t="s">
        <v>259</v>
      </c>
      <c r="E121" s="26" t="s">
        <v>185</v>
      </c>
      <c r="F121" s="22" t="s">
        <v>260</v>
      </c>
      <c r="G121" s="23">
        <f t="shared" si="0"/>
        <v>1592.2629999999999</v>
      </c>
      <c r="H121" s="56"/>
      <c r="I121" s="56"/>
      <c r="J121" s="56">
        <f>J36</f>
        <v>160.25899999999999</v>
      </c>
      <c r="K121" s="56">
        <f>K36</f>
        <v>1432.0039999999999</v>
      </c>
      <c r="L121" s="13"/>
      <c r="M121" s="24"/>
      <c r="P121" s="25"/>
    </row>
    <row r="122" spans="3:16" ht="12.75" x14ac:dyDescent="0.2">
      <c r="C122" s="6"/>
      <c r="D122" s="55" t="s">
        <v>261</v>
      </c>
      <c r="E122" s="26" t="s">
        <v>188</v>
      </c>
      <c r="F122" s="22" t="s">
        <v>262</v>
      </c>
      <c r="G122" s="23">
        <f t="shared" si="0"/>
        <v>0</v>
      </c>
      <c r="H122" s="57">
        <f>H124</f>
        <v>0</v>
      </c>
      <c r="I122" s="57">
        <f>I124</f>
        <v>0</v>
      </c>
      <c r="J122" s="57">
        <f>J124</f>
        <v>0</v>
      </c>
      <c r="K122" s="57">
        <f>K124</f>
        <v>0</v>
      </c>
      <c r="L122" s="13"/>
      <c r="M122" s="24"/>
      <c r="P122" s="25"/>
    </row>
    <row r="123" spans="3:16" ht="12.75" x14ac:dyDescent="0.2">
      <c r="C123" s="6"/>
      <c r="D123" s="55" t="s">
        <v>263</v>
      </c>
      <c r="E123" s="48" t="s">
        <v>264</v>
      </c>
      <c r="F123" s="22" t="s">
        <v>265</v>
      </c>
      <c r="G123" s="23">
        <f t="shared" si="0"/>
        <v>0</v>
      </c>
      <c r="H123" s="56"/>
      <c r="I123" s="56"/>
      <c r="J123" s="56"/>
      <c r="K123" s="56"/>
      <c r="L123" s="13"/>
      <c r="M123" s="24"/>
      <c r="P123" s="25"/>
    </row>
    <row r="124" spans="3:16" ht="12.75" x14ac:dyDescent="0.2">
      <c r="C124" s="6"/>
      <c r="D124" s="55" t="s">
        <v>266</v>
      </c>
      <c r="E124" s="48" t="s">
        <v>197</v>
      </c>
      <c r="F124" s="22" t="s">
        <v>267</v>
      </c>
      <c r="G124" s="23">
        <f t="shared" si="0"/>
        <v>0</v>
      </c>
      <c r="H124" s="56"/>
      <c r="I124" s="56"/>
      <c r="J124" s="56"/>
      <c r="K124" s="56"/>
      <c r="L124" s="13"/>
      <c r="M124" s="24"/>
      <c r="P124" s="25"/>
    </row>
    <row r="125" spans="3:16" ht="12.75" x14ac:dyDescent="0.2">
      <c r="C125" s="6"/>
      <c r="D125" s="87" t="s">
        <v>268</v>
      </c>
      <c r="E125" s="88"/>
      <c r="F125" s="88"/>
      <c r="G125" s="88"/>
      <c r="H125" s="88"/>
      <c r="I125" s="88"/>
      <c r="J125" s="88"/>
      <c r="K125" s="89"/>
      <c r="L125" s="13"/>
      <c r="M125" s="24"/>
      <c r="P125" s="60"/>
    </row>
    <row r="126" spans="3:16" ht="22.5" x14ac:dyDescent="0.2">
      <c r="C126" s="6"/>
      <c r="D126" s="55" t="s">
        <v>269</v>
      </c>
      <c r="E126" s="21" t="s">
        <v>270</v>
      </c>
      <c r="F126" s="22" t="s">
        <v>271</v>
      </c>
      <c r="G126" s="23">
        <f t="shared" si="0"/>
        <v>0</v>
      </c>
      <c r="H126" s="57">
        <f>SUM( H127:H128)</f>
        <v>0</v>
      </c>
      <c r="I126" s="57">
        <f>SUM( I127:I128)</f>
        <v>0</v>
      </c>
      <c r="J126" s="57">
        <f>SUM( J127:J128)</f>
        <v>0</v>
      </c>
      <c r="K126" s="57">
        <f>SUM( K127:K128)</f>
        <v>0</v>
      </c>
      <c r="L126" s="13"/>
      <c r="M126" s="24"/>
      <c r="P126" s="25">
        <v>800</v>
      </c>
    </row>
    <row r="127" spans="3:16" ht="12.75" x14ac:dyDescent="0.2">
      <c r="C127" s="6"/>
      <c r="D127" s="55" t="s">
        <v>272</v>
      </c>
      <c r="E127" s="26" t="s">
        <v>185</v>
      </c>
      <c r="F127" s="22" t="s">
        <v>273</v>
      </c>
      <c r="G127" s="23">
        <f t="shared" si="0"/>
        <v>0</v>
      </c>
      <c r="H127" s="56"/>
      <c r="I127" s="56"/>
      <c r="J127" s="56"/>
      <c r="K127" s="56"/>
      <c r="L127" s="13"/>
      <c r="M127" s="24"/>
      <c r="P127" s="25">
        <v>810</v>
      </c>
    </row>
    <row r="128" spans="3:16" ht="12.75" x14ac:dyDescent="0.2">
      <c r="C128" s="6"/>
      <c r="D128" s="55" t="s">
        <v>274</v>
      </c>
      <c r="E128" s="26" t="s">
        <v>188</v>
      </c>
      <c r="F128" s="22" t="s">
        <v>275</v>
      </c>
      <c r="G128" s="23">
        <f t="shared" si="0"/>
        <v>0</v>
      </c>
      <c r="H128" s="57">
        <f>H129+H131</f>
        <v>0</v>
      </c>
      <c r="I128" s="57">
        <f>I129+I131</f>
        <v>0</v>
      </c>
      <c r="J128" s="57">
        <f>J129+J131</f>
        <v>0</v>
      </c>
      <c r="K128" s="57">
        <f>K129+K131</f>
        <v>0</v>
      </c>
      <c r="L128" s="13"/>
      <c r="M128" s="24"/>
      <c r="P128" s="25">
        <v>820</v>
      </c>
    </row>
    <row r="129" spans="3:16" ht="12.75" x14ac:dyDescent="0.2">
      <c r="C129" s="6"/>
      <c r="D129" s="55" t="s">
        <v>276</v>
      </c>
      <c r="E129" s="48" t="s">
        <v>277</v>
      </c>
      <c r="F129" s="22" t="s">
        <v>278</v>
      </c>
      <c r="G129" s="23">
        <f t="shared" si="0"/>
        <v>0</v>
      </c>
      <c r="H129" s="56"/>
      <c r="I129" s="56"/>
      <c r="J129" s="56"/>
      <c r="K129" s="56"/>
      <c r="L129" s="13"/>
      <c r="M129" s="24"/>
      <c r="P129" s="25">
        <v>830</v>
      </c>
    </row>
    <row r="130" spans="3:16" ht="12.75" x14ac:dyDescent="0.2">
      <c r="C130" s="6"/>
      <c r="D130" s="55" t="s">
        <v>279</v>
      </c>
      <c r="E130" s="49" t="s">
        <v>280</v>
      </c>
      <c r="F130" s="22" t="s">
        <v>281</v>
      </c>
      <c r="G130" s="23">
        <f t="shared" si="0"/>
        <v>0</v>
      </c>
      <c r="H130" s="56"/>
      <c r="I130" s="56"/>
      <c r="J130" s="56"/>
      <c r="K130" s="56"/>
      <c r="L130" s="13"/>
      <c r="M130" s="24"/>
      <c r="P130" s="60"/>
    </row>
    <row r="131" spans="3:16" ht="12.75" x14ac:dyDescent="0.2">
      <c r="C131" s="6"/>
      <c r="D131" s="55" t="s">
        <v>282</v>
      </c>
      <c r="E131" s="48" t="s">
        <v>283</v>
      </c>
      <c r="F131" s="22" t="s">
        <v>284</v>
      </c>
      <c r="G131" s="23">
        <f t="shared" si="0"/>
        <v>0</v>
      </c>
      <c r="H131" s="56"/>
      <c r="I131" s="56"/>
      <c r="J131" s="56"/>
      <c r="K131" s="56"/>
      <c r="L131" s="13"/>
      <c r="M131" s="24"/>
      <c r="P131" s="25">
        <v>840</v>
      </c>
    </row>
    <row r="132" spans="3:16" ht="12.75" x14ac:dyDescent="0.2">
      <c r="C132" s="6"/>
      <c r="D132" s="55" t="s">
        <v>30</v>
      </c>
      <c r="E132" s="21" t="s">
        <v>285</v>
      </c>
      <c r="F132" s="22" t="s">
        <v>286</v>
      </c>
      <c r="G132" s="23">
        <f t="shared" si="0"/>
        <v>0</v>
      </c>
      <c r="H132" s="58">
        <f>SUM( H133+H138)</f>
        <v>0</v>
      </c>
      <c r="I132" s="58">
        <f>SUM( I133+I138)</f>
        <v>0</v>
      </c>
      <c r="J132" s="58">
        <f>SUM( J133+J138)</f>
        <v>0</v>
      </c>
      <c r="K132" s="58">
        <f>SUM( K133+K138)</f>
        <v>0</v>
      </c>
      <c r="L132" s="61"/>
      <c r="M132" s="24"/>
      <c r="P132" s="25">
        <v>850</v>
      </c>
    </row>
    <row r="133" spans="3:16" ht="12.75" x14ac:dyDescent="0.2">
      <c r="C133" s="6"/>
      <c r="D133" s="55" t="s">
        <v>287</v>
      </c>
      <c r="E133" s="26" t="s">
        <v>185</v>
      </c>
      <c r="F133" s="22" t="s">
        <v>288</v>
      </c>
      <c r="G133" s="23">
        <f t="shared" ref="G133:G146" si="1">SUM(H133:K133)</f>
        <v>0</v>
      </c>
      <c r="H133" s="58">
        <f>SUM( H134:H135)</f>
        <v>0</v>
      </c>
      <c r="I133" s="58">
        <f>SUM( I134:I135)</f>
        <v>0</v>
      </c>
      <c r="J133" s="58">
        <f>SUM( J134:J135)</f>
        <v>0</v>
      </c>
      <c r="K133" s="58">
        <f>SUM( K134:K135)</f>
        <v>0</v>
      </c>
      <c r="L133" s="61"/>
      <c r="M133" s="24"/>
      <c r="P133" s="25">
        <v>860</v>
      </c>
    </row>
    <row r="134" spans="3:16" ht="12.75" x14ac:dyDescent="0.2">
      <c r="C134" s="6"/>
      <c r="D134" s="55" t="s">
        <v>289</v>
      </c>
      <c r="E134" s="48" t="s">
        <v>206</v>
      </c>
      <c r="F134" s="22" t="s">
        <v>290</v>
      </c>
      <c r="G134" s="23">
        <f t="shared" si="1"/>
        <v>0</v>
      </c>
      <c r="H134" s="62"/>
      <c r="I134" s="62"/>
      <c r="J134" s="62"/>
      <c r="K134" s="62"/>
      <c r="L134" s="61"/>
      <c r="M134" s="24"/>
      <c r="P134" s="25"/>
    </row>
    <row r="135" spans="3:16" ht="12.75" x14ac:dyDescent="0.2">
      <c r="C135" s="6"/>
      <c r="D135" s="55" t="s">
        <v>291</v>
      </c>
      <c r="E135" s="48" t="s">
        <v>209</v>
      </c>
      <c r="F135" s="22" t="s">
        <v>292</v>
      </c>
      <c r="G135" s="23">
        <f t="shared" si="1"/>
        <v>0</v>
      </c>
      <c r="H135" s="58">
        <f>H136+H137</f>
        <v>0</v>
      </c>
      <c r="I135" s="58">
        <f>I136+I137</f>
        <v>0</v>
      </c>
      <c r="J135" s="58">
        <f>J136+J137</f>
        <v>0</v>
      </c>
      <c r="K135" s="58">
        <f>K136+K137</f>
        <v>0</v>
      </c>
      <c r="L135" s="61"/>
      <c r="M135" s="24"/>
      <c r="P135" s="25"/>
    </row>
    <row r="136" spans="3:16" ht="12.75" x14ac:dyDescent="0.2">
      <c r="C136" s="6"/>
      <c r="D136" s="55" t="s">
        <v>293</v>
      </c>
      <c r="E136" s="49" t="s">
        <v>215</v>
      </c>
      <c r="F136" s="22" t="s">
        <v>294</v>
      </c>
      <c r="G136" s="23">
        <f t="shared" si="1"/>
        <v>0</v>
      </c>
      <c r="H136" s="62"/>
      <c r="I136" s="62"/>
      <c r="J136" s="62"/>
      <c r="K136" s="62"/>
      <c r="L136" s="61"/>
      <c r="M136" s="24"/>
      <c r="P136" s="25"/>
    </row>
    <row r="137" spans="3:16" ht="12.75" x14ac:dyDescent="0.2">
      <c r="C137" s="6"/>
      <c r="D137" s="55" t="s">
        <v>295</v>
      </c>
      <c r="E137" s="49" t="s">
        <v>296</v>
      </c>
      <c r="F137" s="22" t="s">
        <v>297</v>
      </c>
      <c r="G137" s="23">
        <f t="shared" si="1"/>
        <v>0</v>
      </c>
      <c r="H137" s="62"/>
      <c r="I137" s="62"/>
      <c r="J137" s="62"/>
      <c r="K137" s="62"/>
      <c r="L137" s="61"/>
      <c r="M137" s="24"/>
      <c r="P137" s="25"/>
    </row>
    <row r="138" spans="3:16" ht="12.75" x14ac:dyDescent="0.2">
      <c r="C138" s="6"/>
      <c r="D138" s="55" t="s">
        <v>298</v>
      </c>
      <c r="E138" s="26" t="s">
        <v>247</v>
      </c>
      <c r="F138" s="22" t="s">
        <v>299</v>
      </c>
      <c r="G138" s="23">
        <f t="shared" si="1"/>
        <v>0</v>
      </c>
      <c r="H138" s="58">
        <f>H139+H141</f>
        <v>0</v>
      </c>
      <c r="I138" s="58">
        <f>I139+I141</f>
        <v>0</v>
      </c>
      <c r="J138" s="58">
        <f>J139+J141</f>
        <v>0</v>
      </c>
      <c r="K138" s="58">
        <f>K139+K141</f>
        <v>0</v>
      </c>
      <c r="L138" s="61"/>
      <c r="M138" s="24"/>
      <c r="P138" s="25">
        <v>870</v>
      </c>
    </row>
    <row r="139" spans="3:16" ht="12.75" x14ac:dyDescent="0.2">
      <c r="C139" s="6"/>
      <c r="D139" s="55" t="s">
        <v>300</v>
      </c>
      <c r="E139" s="48" t="s">
        <v>277</v>
      </c>
      <c r="F139" s="22" t="s">
        <v>301</v>
      </c>
      <c r="G139" s="23">
        <f t="shared" si="1"/>
        <v>0</v>
      </c>
      <c r="H139" s="56"/>
      <c r="I139" s="56"/>
      <c r="J139" s="56"/>
      <c r="K139" s="56"/>
      <c r="L139" s="61"/>
      <c r="M139" s="24"/>
      <c r="P139" s="25">
        <v>880</v>
      </c>
    </row>
    <row r="140" spans="3:16" ht="12.75" x14ac:dyDescent="0.2">
      <c r="C140" s="6"/>
      <c r="D140" s="55" t="s">
        <v>302</v>
      </c>
      <c r="E140" s="49" t="s">
        <v>280</v>
      </c>
      <c r="F140" s="22" t="s">
        <v>303</v>
      </c>
      <c r="G140" s="23">
        <f t="shared" si="1"/>
        <v>0</v>
      </c>
      <c r="H140" s="56"/>
      <c r="I140" s="56"/>
      <c r="J140" s="56"/>
      <c r="K140" s="56"/>
      <c r="L140" s="61"/>
      <c r="M140" s="24"/>
      <c r="P140" s="25"/>
    </row>
    <row r="141" spans="3:16" ht="12.75" x14ac:dyDescent="0.2">
      <c r="C141" s="6"/>
      <c r="D141" s="55" t="s">
        <v>304</v>
      </c>
      <c r="E141" s="48" t="s">
        <v>283</v>
      </c>
      <c r="F141" s="22" t="s">
        <v>305</v>
      </c>
      <c r="G141" s="23">
        <f t="shared" si="1"/>
        <v>0</v>
      </c>
      <c r="H141" s="63"/>
      <c r="I141" s="63"/>
      <c r="J141" s="63"/>
      <c r="K141" s="63"/>
      <c r="L141" s="61"/>
      <c r="M141" s="24"/>
      <c r="P141" s="25">
        <v>890</v>
      </c>
    </row>
    <row r="142" spans="3:16" ht="12.75" x14ac:dyDescent="0.2">
      <c r="C142" s="6"/>
      <c r="D142" s="55" t="s">
        <v>306</v>
      </c>
      <c r="E142" s="21" t="s">
        <v>307</v>
      </c>
      <c r="F142" s="22" t="s">
        <v>308</v>
      </c>
      <c r="G142" s="23">
        <f t="shared" si="1"/>
        <v>2318.3349279999998</v>
      </c>
      <c r="H142" s="64">
        <f>SUM( H143:H144)</f>
        <v>0</v>
      </c>
      <c r="I142" s="64">
        <f>SUM( I143:I144)</f>
        <v>0</v>
      </c>
      <c r="J142" s="64">
        <f>SUM( J143:J144)</f>
        <v>233.33710399999998</v>
      </c>
      <c r="K142" s="64">
        <f>SUM( K143:K144)</f>
        <v>2084.9978239999996</v>
      </c>
      <c r="L142" s="61"/>
      <c r="M142" s="24"/>
      <c r="P142" s="25">
        <v>900</v>
      </c>
    </row>
    <row r="143" spans="3:16" ht="12.75" x14ac:dyDescent="0.2">
      <c r="C143" s="6"/>
      <c r="D143" s="55" t="s">
        <v>309</v>
      </c>
      <c r="E143" s="26" t="s">
        <v>185</v>
      </c>
      <c r="F143" s="22" t="s">
        <v>310</v>
      </c>
      <c r="G143" s="23">
        <f t="shared" si="1"/>
        <v>2318.3349279999998</v>
      </c>
      <c r="H143" s="63"/>
      <c r="I143" s="63"/>
      <c r="J143" s="65">
        <f>J121*1.456</f>
        <v>233.33710399999998</v>
      </c>
      <c r="K143" s="65">
        <f>K121*1.456</f>
        <v>2084.9978239999996</v>
      </c>
      <c r="L143" s="61"/>
      <c r="M143" s="24"/>
      <c r="P143" s="25"/>
    </row>
    <row r="144" spans="3:16" ht="12.75" x14ac:dyDescent="0.2">
      <c r="C144" s="6"/>
      <c r="D144" s="55" t="s">
        <v>311</v>
      </c>
      <c r="E144" s="26" t="s">
        <v>188</v>
      </c>
      <c r="F144" s="22" t="s">
        <v>312</v>
      </c>
      <c r="G144" s="23">
        <f t="shared" si="1"/>
        <v>0</v>
      </c>
      <c r="H144" s="64">
        <f>H145+H146</f>
        <v>0</v>
      </c>
      <c r="I144" s="64">
        <f>I145+I146</f>
        <v>0</v>
      </c>
      <c r="J144" s="64">
        <f>J145+J146</f>
        <v>0</v>
      </c>
      <c r="K144" s="64">
        <f>K145+K146</f>
        <v>0</v>
      </c>
      <c r="L144" s="61"/>
      <c r="M144" s="24"/>
      <c r="P144" s="25"/>
    </row>
    <row r="145" spans="3:19" ht="12.75" x14ac:dyDescent="0.2">
      <c r="C145" s="6"/>
      <c r="D145" s="55" t="s">
        <v>313</v>
      </c>
      <c r="E145" s="48" t="s">
        <v>314</v>
      </c>
      <c r="F145" s="22" t="s">
        <v>315</v>
      </c>
      <c r="G145" s="23">
        <f t="shared" si="1"/>
        <v>0</v>
      </c>
      <c r="H145" s="63"/>
      <c r="I145" s="63"/>
      <c r="J145" s="63"/>
      <c r="K145" s="63"/>
      <c r="L145" s="61"/>
      <c r="M145" s="24"/>
      <c r="P145" s="25" t="s">
        <v>316</v>
      </c>
    </row>
    <row r="146" spans="3:19" ht="12.75" x14ac:dyDescent="0.2">
      <c r="C146" s="6"/>
      <c r="D146" s="55" t="s">
        <v>317</v>
      </c>
      <c r="E146" s="48" t="s">
        <v>283</v>
      </c>
      <c r="F146" s="22" t="s">
        <v>318</v>
      </c>
      <c r="G146" s="23">
        <f t="shared" si="1"/>
        <v>0</v>
      </c>
      <c r="H146" s="63"/>
      <c r="I146" s="63"/>
      <c r="J146" s="63"/>
      <c r="K146" s="66"/>
      <c r="L146" s="61"/>
      <c r="M146" s="24"/>
      <c r="P146" s="25" t="s">
        <v>319</v>
      </c>
    </row>
    <row r="147" spans="3:19" x14ac:dyDescent="0.25">
      <c r="D147" s="11"/>
      <c r="E147" s="67"/>
      <c r="F147" s="67"/>
      <c r="G147" s="67"/>
      <c r="H147" s="67"/>
      <c r="I147" s="67"/>
      <c r="J147" s="67"/>
      <c r="K147" s="68"/>
      <c r="L147" s="68"/>
      <c r="M147" s="68"/>
      <c r="N147" s="68"/>
      <c r="O147" s="68"/>
      <c r="P147" s="68"/>
      <c r="Q147" s="68"/>
      <c r="R147" s="69"/>
      <c r="S147" s="69"/>
    </row>
    <row r="148" spans="3:19" ht="12.75" x14ac:dyDescent="0.2">
      <c r="E148" s="24" t="s">
        <v>320</v>
      </c>
      <c r="F148" s="79" t="str">
        <f>IF([1]Титульный!G45="","",[1]Титульный!G45)</f>
        <v>Коммерческий директор</v>
      </c>
      <c r="G148" s="79"/>
      <c r="H148" s="70"/>
      <c r="I148" s="79" t="str">
        <f>IF([1]Титульный!G44="","",[1]Титульный!G44)</f>
        <v>Байков Алексей Александрович</v>
      </c>
      <c r="J148" s="79"/>
      <c r="K148" s="79"/>
      <c r="L148" s="70"/>
      <c r="M148" s="71"/>
      <c r="N148" s="71"/>
      <c r="O148" s="72"/>
      <c r="P148" s="68"/>
      <c r="Q148" s="68"/>
      <c r="R148" s="69"/>
      <c r="S148" s="69"/>
    </row>
    <row r="149" spans="3:19" ht="12.75" x14ac:dyDescent="0.2">
      <c r="E149" s="73" t="s">
        <v>321</v>
      </c>
      <c r="F149" s="78" t="s">
        <v>322</v>
      </c>
      <c r="G149" s="78"/>
      <c r="H149" s="72"/>
      <c r="I149" s="78" t="s">
        <v>323</v>
      </c>
      <c r="J149" s="78"/>
      <c r="K149" s="78"/>
      <c r="L149" s="72"/>
      <c r="M149" s="78" t="s">
        <v>324</v>
      </c>
      <c r="N149" s="78"/>
      <c r="O149" s="24"/>
      <c r="P149" s="68"/>
      <c r="Q149" s="68"/>
      <c r="R149" s="69"/>
      <c r="S149" s="69"/>
    </row>
    <row r="150" spans="3:19" ht="12.75" x14ac:dyDescent="0.2">
      <c r="E150" s="73" t="s">
        <v>325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68"/>
      <c r="Q150" s="68"/>
      <c r="R150" s="69"/>
      <c r="S150" s="69"/>
    </row>
    <row r="151" spans="3:19" ht="12.75" x14ac:dyDescent="0.2">
      <c r="E151" s="73" t="s">
        <v>326</v>
      </c>
      <c r="F151" s="79" t="str">
        <f>IF([1]Титульный!G46="","",[1]Титульный!G46)</f>
        <v>(495) 637 3220</v>
      </c>
      <c r="G151" s="79"/>
      <c r="H151" s="79"/>
      <c r="I151" s="24"/>
      <c r="J151" s="73" t="s">
        <v>327</v>
      </c>
      <c r="K151" s="74"/>
      <c r="L151" s="24"/>
      <c r="M151" s="24"/>
      <c r="N151" s="24"/>
      <c r="O151" s="24"/>
      <c r="P151" s="68"/>
      <c r="Q151" s="68"/>
      <c r="R151" s="69"/>
      <c r="S151" s="69"/>
    </row>
    <row r="152" spans="3:19" ht="12.75" x14ac:dyDescent="0.2">
      <c r="E152" s="24" t="s">
        <v>328</v>
      </c>
      <c r="F152" s="80" t="s">
        <v>329</v>
      </c>
      <c r="G152" s="80"/>
      <c r="H152" s="80"/>
      <c r="I152" s="24"/>
      <c r="J152" s="75" t="s">
        <v>330</v>
      </c>
      <c r="K152" s="75"/>
      <c r="L152" s="24"/>
      <c r="M152" s="24"/>
      <c r="N152" s="24"/>
      <c r="O152" s="24"/>
      <c r="P152" s="68"/>
      <c r="Q152" s="68"/>
      <c r="R152" s="69"/>
      <c r="S152" s="69"/>
    </row>
    <row r="153" spans="3:19" x14ac:dyDescent="0.25"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9"/>
      <c r="S153" s="69"/>
    </row>
    <row r="154" spans="3:19" x14ac:dyDescent="0.25"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9"/>
      <c r="S154" s="69"/>
    </row>
    <row r="155" spans="3:19" x14ac:dyDescent="0.25"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9"/>
      <c r="S155" s="69"/>
    </row>
    <row r="156" spans="3:19" x14ac:dyDescent="0.25"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9"/>
      <c r="S156" s="69"/>
    </row>
    <row r="157" spans="3:19" x14ac:dyDescent="0.25"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9"/>
      <c r="S157" s="69"/>
    </row>
    <row r="158" spans="3:19" x14ac:dyDescent="0.25"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9"/>
      <c r="S158" s="69"/>
    </row>
    <row r="159" spans="3:19" x14ac:dyDescent="0.25"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  <c r="S159" s="69"/>
    </row>
    <row r="160" spans="3:19" x14ac:dyDescent="0.25"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9"/>
      <c r="S160" s="69"/>
    </row>
    <row r="161" spans="5:19" x14ac:dyDescent="0.25"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9"/>
      <c r="S161" s="69"/>
    </row>
    <row r="162" spans="5:19" x14ac:dyDescent="0.25"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9"/>
      <c r="S162" s="69"/>
    </row>
    <row r="163" spans="5:19" x14ac:dyDescent="0.25"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9"/>
      <c r="S163" s="69"/>
    </row>
    <row r="164" spans="5:19" x14ac:dyDescent="0.25"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9"/>
      <c r="S164" s="69"/>
    </row>
    <row r="165" spans="5:19" x14ac:dyDescent="0.25"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9"/>
      <c r="S165" s="69"/>
    </row>
    <row r="166" spans="5:19" x14ac:dyDescent="0.25"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9"/>
      <c r="S166" s="69"/>
    </row>
    <row r="167" spans="5:19" x14ac:dyDescent="0.25"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9"/>
      <c r="S167" s="69"/>
    </row>
    <row r="168" spans="5:19" x14ac:dyDescent="0.25"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9"/>
      <c r="S168" s="69"/>
    </row>
    <row r="169" spans="5:19" x14ac:dyDescent="0.25"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9"/>
      <c r="S169" s="69"/>
    </row>
    <row r="170" spans="5:19" x14ac:dyDescent="0.25"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9"/>
      <c r="S170" s="69"/>
    </row>
    <row r="171" spans="5:19" x14ac:dyDescent="0.25"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9"/>
      <c r="S171" s="69"/>
    </row>
    <row r="172" spans="5:19" x14ac:dyDescent="0.25"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9"/>
      <c r="S172" s="69"/>
    </row>
    <row r="173" spans="5:19" x14ac:dyDescent="0.25"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9"/>
      <c r="S173" s="69"/>
    </row>
    <row r="174" spans="5:19" x14ac:dyDescent="0.25"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9"/>
      <c r="S174" s="69"/>
    </row>
    <row r="175" spans="5:19" x14ac:dyDescent="0.25"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9"/>
      <c r="S175" s="69"/>
    </row>
    <row r="176" spans="5:19" x14ac:dyDescent="0.25"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9"/>
      <c r="S176" s="69"/>
    </row>
    <row r="177" spans="5:19" x14ac:dyDescent="0.25"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9"/>
      <c r="S177" s="69"/>
    </row>
    <row r="178" spans="5:19" x14ac:dyDescent="0.25"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</row>
    <row r="179" spans="5:19" x14ac:dyDescent="0.25"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5:19" x14ac:dyDescent="0.25"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5:19" x14ac:dyDescent="0.25"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</sheetData>
  <mergeCells count="18">
    <mergeCell ref="F148:G148"/>
    <mergeCell ref="I148:K148"/>
    <mergeCell ref="D8:E8"/>
    <mergeCell ref="D11:D12"/>
    <mergeCell ref="E11:E12"/>
    <mergeCell ref="F11:F12"/>
    <mergeCell ref="G11:G12"/>
    <mergeCell ref="H11:K11"/>
    <mergeCell ref="D14:K14"/>
    <mergeCell ref="D51:K51"/>
    <mergeCell ref="D88:K88"/>
    <mergeCell ref="D92:K92"/>
    <mergeCell ref="D125:K125"/>
    <mergeCell ref="F149:G149"/>
    <mergeCell ref="I149:K149"/>
    <mergeCell ref="M149:N149"/>
    <mergeCell ref="F151:H151"/>
    <mergeCell ref="F152:H152"/>
  </mergeCells>
  <dataValidations count="2">
    <dataValidation allowBlank="1" showInputMessage="1" promptTitle="Ввод" prompt="Для выбора организации необходимо два раза нажать левую клавишу мыши!" sqref="E25 E62"/>
    <dataValidation type="decimal" allowBlank="1" showErrorMessage="1" errorTitle="Ошибка" error="Допускается ввод только действительных чисел!" sqref="G27:K40 G89:K91 G93:K124 G52:K55 G23:K25 G79:K87 G20:K21 G64:K77 G42:K50 G15:K18 G126:K146 G57:K58 G60:K6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81"/>
  <sheetViews>
    <sheetView view="pageBreakPreview" topLeftCell="C7" zoomScale="60" zoomScaleNormal="100" workbookViewId="0">
      <selection activeCell="J36" sqref="J36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idden="1" x14ac:dyDescent="0.25">
      <c r="S1" s="2"/>
      <c r="T1" s="2"/>
      <c r="U1" s="2"/>
      <c r="V1" s="2"/>
      <c r="Y1" s="2"/>
      <c r="AN1" s="2"/>
      <c r="AO1" s="2"/>
      <c r="AP1" s="2"/>
      <c r="BC1" s="2"/>
      <c r="BF1" s="2"/>
      <c r="BI1" s="2"/>
      <c r="BJ1" s="2"/>
      <c r="BX1" s="2"/>
      <c r="BY1" s="2"/>
    </row>
    <row r="2" spans="1:77" hidden="1" x14ac:dyDescent="0.25"/>
    <row r="3" spans="1:77" hidden="1" x14ac:dyDescent="0.25"/>
    <row r="4" spans="1:77" hidden="1" x14ac:dyDescent="0.2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idden="1" x14ac:dyDescent="0.2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idden="1" x14ac:dyDescent="0.25">
      <c r="A6" s="5"/>
    </row>
    <row r="7" spans="1:77" ht="12" customHeight="1" x14ac:dyDescent="0.25">
      <c r="A7" s="5"/>
      <c r="D7" s="6"/>
      <c r="E7" s="6"/>
      <c r="F7" s="6"/>
      <c r="G7" s="6"/>
      <c r="H7" s="6"/>
      <c r="I7" s="6"/>
      <c r="J7" s="6"/>
      <c r="K7" s="7"/>
      <c r="Q7" s="8"/>
    </row>
    <row r="8" spans="1:77" ht="22.5" customHeight="1" x14ac:dyDescent="0.25">
      <c r="A8" s="5"/>
      <c r="D8" s="81" t="s">
        <v>11</v>
      </c>
      <c r="E8" s="8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77" x14ac:dyDescent="0.25">
      <c r="A9" s="5"/>
      <c r="D9" s="10" t="str">
        <f>IF(org="","Не определено",org)</f>
        <v>ЗАО "Коттон Вэй"</v>
      </c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77" ht="12" customHeight="1" x14ac:dyDescent="0.25">
      <c r="D10" s="11"/>
      <c r="E10" s="11"/>
      <c r="F10" s="6"/>
      <c r="G10" s="6"/>
      <c r="H10" s="6"/>
      <c r="I10" s="6"/>
      <c r="K10" s="12" t="s">
        <v>12</v>
      </c>
    </row>
    <row r="11" spans="1:77" ht="15" customHeight="1" x14ac:dyDescent="0.25">
      <c r="C11" s="6"/>
      <c r="D11" s="82" t="s">
        <v>13</v>
      </c>
      <c r="E11" s="84" t="s">
        <v>14</v>
      </c>
      <c r="F11" s="84" t="s">
        <v>15</v>
      </c>
      <c r="G11" s="84" t="s">
        <v>16</v>
      </c>
      <c r="H11" s="84" t="s">
        <v>17</v>
      </c>
      <c r="I11" s="84"/>
      <c r="J11" s="84"/>
      <c r="K11" s="86"/>
      <c r="L11" s="13"/>
    </row>
    <row r="12" spans="1:77" ht="15" customHeight="1" x14ac:dyDescent="0.25">
      <c r="C12" s="6"/>
      <c r="D12" s="83"/>
      <c r="E12" s="85"/>
      <c r="F12" s="85"/>
      <c r="G12" s="85"/>
      <c r="H12" s="14" t="s">
        <v>18</v>
      </c>
      <c r="I12" s="14" t="s">
        <v>19</v>
      </c>
      <c r="J12" s="14" t="s">
        <v>20</v>
      </c>
      <c r="K12" s="15" t="s">
        <v>21</v>
      </c>
      <c r="L12" s="13"/>
    </row>
    <row r="13" spans="1:77" ht="12" customHeight="1" x14ac:dyDescent="0.25">
      <c r="D13" s="16">
        <v>0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</row>
    <row r="14" spans="1:77" s="17" customFormat="1" ht="15" customHeight="1" x14ac:dyDescent="0.25">
      <c r="C14" s="18"/>
      <c r="D14" s="87" t="s">
        <v>22</v>
      </c>
      <c r="E14" s="88"/>
      <c r="F14" s="88"/>
      <c r="G14" s="88"/>
      <c r="H14" s="88"/>
      <c r="I14" s="88"/>
      <c r="J14" s="88"/>
      <c r="K14" s="89"/>
      <c r="L14" s="19"/>
    </row>
    <row r="15" spans="1:77" s="17" customFormat="1" ht="15" customHeight="1" x14ac:dyDescent="0.2">
      <c r="C15" s="18"/>
      <c r="D15" s="20" t="s">
        <v>23</v>
      </c>
      <c r="E15" s="21" t="s">
        <v>24</v>
      </c>
      <c r="F15" s="22">
        <v>10</v>
      </c>
      <c r="G15" s="23">
        <f>SUM(H15:K15)</f>
        <v>5157.7910000000002</v>
      </c>
      <c r="H15" s="23">
        <f>H16+H17+H20+H23</f>
        <v>4082.7780000000002</v>
      </c>
      <c r="I15" s="23">
        <f>I16+I17+I20+I23</f>
        <v>0</v>
      </c>
      <c r="J15" s="23">
        <f>J16+J17+J20+J23</f>
        <v>1075.0129999999999</v>
      </c>
      <c r="K15" s="23">
        <f>K16+K17+K20+K23</f>
        <v>0</v>
      </c>
      <c r="L15" s="19"/>
      <c r="M15" s="24"/>
      <c r="P15" s="25">
        <v>10</v>
      </c>
    </row>
    <row r="16" spans="1:77" s="17" customFormat="1" ht="15" customHeight="1" x14ac:dyDescent="0.2">
      <c r="C16" s="18"/>
      <c r="D16" s="20" t="s">
        <v>25</v>
      </c>
      <c r="E16" s="26" t="s">
        <v>26</v>
      </c>
      <c r="F16" s="22">
        <v>20</v>
      </c>
      <c r="G16" s="23">
        <f t="shared" ref="G16:G132" si="0">SUM(H16:K16)</f>
        <v>0</v>
      </c>
      <c r="H16" s="27"/>
      <c r="I16" s="27"/>
      <c r="J16" s="27"/>
      <c r="K16" s="27"/>
      <c r="L16" s="19"/>
      <c r="M16" s="24"/>
      <c r="P16" s="25">
        <v>20</v>
      </c>
    </row>
    <row r="17" spans="3:16" s="17" customFormat="1" ht="12.75" x14ac:dyDescent="0.2">
      <c r="C17" s="18"/>
      <c r="D17" s="20" t="s">
        <v>27</v>
      </c>
      <c r="E17" s="26" t="s">
        <v>28</v>
      </c>
      <c r="F17" s="22">
        <v>30</v>
      </c>
      <c r="G17" s="23">
        <f t="shared" si="0"/>
        <v>0</v>
      </c>
      <c r="H17" s="23">
        <f>SUM(H18:H19)</f>
        <v>0</v>
      </c>
      <c r="I17" s="23">
        <f>SUM(I18:I19)</f>
        <v>0</v>
      </c>
      <c r="J17" s="23">
        <f>SUM(J18:J19)</f>
        <v>0</v>
      </c>
      <c r="K17" s="23">
        <f>SUM(K18:K19)</f>
        <v>0</v>
      </c>
      <c r="L17" s="19"/>
      <c r="M17" s="24"/>
      <c r="P17" s="25">
        <v>30</v>
      </c>
    </row>
    <row r="18" spans="3:16" s="17" customFormat="1" ht="12.75" x14ac:dyDescent="0.2">
      <c r="C18" s="18"/>
      <c r="D18" s="28" t="s">
        <v>29</v>
      </c>
      <c r="E18" s="29"/>
      <c r="F18" s="30" t="s">
        <v>30</v>
      </c>
      <c r="G18" s="31"/>
      <c r="H18" s="31"/>
      <c r="I18" s="31"/>
      <c r="J18" s="31"/>
      <c r="K18" s="31"/>
      <c r="L18" s="19"/>
      <c r="M18" s="24"/>
      <c r="P18" s="25"/>
    </row>
    <row r="19" spans="3:16" s="17" customFormat="1" ht="12.75" x14ac:dyDescent="0.2">
      <c r="C19" s="18"/>
      <c r="D19" s="32"/>
      <c r="E19" s="33" t="s">
        <v>31</v>
      </c>
      <c r="F19" s="34"/>
      <c r="G19" s="34"/>
      <c r="H19" s="34"/>
      <c r="I19" s="34"/>
      <c r="J19" s="34"/>
      <c r="K19" s="35"/>
      <c r="L19" s="19"/>
      <c r="M19" s="24"/>
      <c r="P19" s="36"/>
    </row>
    <row r="20" spans="3:16" s="17" customFormat="1" ht="12.75" x14ac:dyDescent="0.2">
      <c r="C20" s="18"/>
      <c r="D20" s="20" t="s">
        <v>32</v>
      </c>
      <c r="E20" s="26" t="s">
        <v>33</v>
      </c>
      <c r="F20" s="22" t="s">
        <v>34</v>
      </c>
      <c r="G20" s="23">
        <f t="shared" si="0"/>
        <v>0</v>
      </c>
      <c r="H20" s="23">
        <f>SUM(H21:H22)</f>
        <v>0</v>
      </c>
      <c r="I20" s="23">
        <f>SUM(I21:I22)</f>
        <v>0</v>
      </c>
      <c r="J20" s="23">
        <f>SUM(J21:J22)</f>
        <v>0</v>
      </c>
      <c r="K20" s="23">
        <f>SUM(K21:K22)</f>
        <v>0</v>
      </c>
      <c r="L20" s="19"/>
      <c r="M20" s="24"/>
      <c r="P20" s="36"/>
    </row>
    <row r="21" spans="3:16" s="17" customFormat="1" ht="12.75" x14ac:dyDescent="0.2">
      <c r="C21" s="18"/>
      <c r="D21" s="28" t="s">
        <v>35</v>
      </c>
      <c r="E21" s="29"/>
      <c r="F21" s="30" t="s">
        <v>34</v>
      </c>
      <c r="G21" s="31"/>
      <c r="H21" s="31"/>
      <c r="I21" s="31"/>
      <c r="J21" s="31"/>
      <c r="K21" s="31"/>
      <c r="L21" s="19"/>
      <c r="M21" s="24"/>
      <c r="P21" s="25"/>
    </row>
    <row r="22" spans="3:16" s="17" customFormat="1" ht="12.75" x14ac:dyDescent="0.2">
      <c r="C22" s="18"/>
      <c r="D22" s="32"/>
      <c r="E22" s="33" t="s">
        <v>31</v>
      </c>
      <c r="F22" s="34"/>
      <c r="G22" s="34"/>
      <c r="H22" s="34"/>
      <c r="I22" s="34"/>
      <c r="J22" s="34"/>
      <c r="K22" s="35"/>
      <c r="L22" s="19"/>
      <c r="M22" s="24"/>
      <c r="P22" s="36"/>
    </row>
    <row r="23" spans="3:16" s="17" customFormat="1" ht="12.75" x14ac:dyDescent="0.2">
      <c r="C23" s="18"/>
      <c r="D23" s="20" t="s">
        <v>36</v>
      </c>
      <c r="E23" s="26" t="s">
        <v>37</v>
      </c>
      <c r="F23" s="22" t="s">
        <v>38</v>
      </c>
      <c r="G23" s="23">
        <f t="shared" si="0"/>
        <v>5157.7910000000002</v>
      </c>
      <c r="H23" s="23">
        <f>SUM(H24:H26)</f>
        <v>4082.7780000000002</v>
      </c>
      <c r="I23" s="23">
        <f>SUM(I24:I26)</f>
        <v>0</v>
      </c>
      <c r="J23" s="23">
        <f>SUM(J24:J26)</f>
        <v>1075.0129999999999</v>
      </c>
      <c r="K23" s="23">
        <f>SUM(K24:K26)</f>
        <v>0</v>
      </c>
      <c r="L23" s="19"/>
      <c r="M23" s="24"/>
      <c r="P23" s="25">
        <v>40</v>
      </c>
    </row>
    <row r="24" spans="3:16" s="17" customFormat="1" ht="12.75" x14ac:dyDescent="0.2">
      <c r="C24" s="18"/>
      <c r="D24" s="28" t="s">
        <v>39</v>
      </c>
      <c r="E24" s="29"/>
      <c r="F24" s="30" t="s">
        <v>38</v>
      </c>
      <c r="G24" s="31"/>
      <c r="H24" s="31"/>
      <c r="I24" s="31"/>
      <c r="J24" s="31"/>
      <c r="K24" s="31"/>
      <c r="L24" s="19"/>
      <c r="M24" s="24"/>
      <c r="P24" s="25"/>
    </row>
    <row r="25" spans="3:16" s="17" customFormat="1" ht="15" x14ac:dyDescent="0.25">
      <c r="C25" s="37" t="s">
        <v>40</v>
      </c>
      <c r="D25" s="38" t="s">
        <v>41</v>
      </c>
      <c r="E25" s="39" t="s">
        <v>42</v>
      </c>
      <c r="F25" s="40">
        <v>431</v>
      </c>
      <c r="G25" s="41">
        <f>SUM(H25:K25)</f>
        <v>5157.7910000000002</v>
      </c>
      <c r="H25" s="42">
        <f>апрель!H25+май!H25+июнь!H25</f>
        <v>4082.7780000000002</v>
      </c>
      <c r="I25" s="42">
        <v>0</v>
      </c>
      <c r="J25" s="42">
        <f>апрель!J25+май!J25+июнь!J25</f>
        <v>1075.0129999999999</v>
      </c>
      <c r="K25" s="42">
        <v>0</v>
      </c>
      <c r="L25" s="19"/>
      <c r="M25" s="43" t="s">
        <v>43</v>
      </c>
      <c r="N25" s="44" t="s">
        <v>44</v>
      </c>
      <c r="O25" s="44" t="s">
        <v>45</v>
      </c>
    </row>
    <row r="26" spans="3:16" s="17" customFormat="1" ht="12.75" x14ac:dyDescent="0.2">
      <c r="C26" s="18"/>
      <c r="D26" s="32"/>
      <c r="E26" s="33" t="s">
        <v>31</v>
      </c>
      <c r="F26" s="34"/>
      <c r="G26" s="34"/>
      <c r="H26" s="34"/>
      <c r="I26" s="34"/>
      <c r="J26" s="34"/>
      <c r="K26" s="35"/>
      <c r="L26" s="19"/>
      <c r="M26" s="24"/>
      <c r="P26" s="25"/>
    </row>
    <row r="27" spans="3:16" s="17" customFormat="1" ht="12.75" x14ac:dyDescent="0.2">
      <c r="C27" s="18"/>
      <c r="D27" s="20" t="s">
        <v>46</v>
      </c>
      <c r="E27" s="21" t="s">
        <v>47</v>
      </c>
      <c r="F27" s="22" t="s">
        <v>48</v>
      </c>
      <c r="G27" s="23">
        <f t="shared" si="0"/>
        <v>8671.8860000000004</v>
      </c>
      <c r="H27" s="23">
        <f>H29+H30+H31</f>
        <v>0</v>
      </c>
      <c r="I27" s="23">
        <f>I28+I30+I31</f>
        <v>0</v>
      </c>
      <c r="J27" s="23">
        <f>J28+J29+J31</f>
        <v>4082.7780000000002</v>
      </c>
      <c r="K27" s="23">
        <f>K28+K29+K30</f>
        <v>4589.1080000000002</v>
      </c>
      <c r="L27" s="19"/>
      <c r="M27" s="24"/>
      <c r="P27" s="25">
        <v>50</v>
      </c>
    </row>
    <row r="28" spans="3:16" s="17" customFormat="1" ht="12.75" x14ac:dyDescent="0.2">
      <c r="C28" s="18"/>
      <c r="D28" s="20" t="s">
        <v>49</v>
      </c>
      <c r="E28" s="26" t="s">
        <v>18</v>
      </c>
      <c r="F28" s="22" t="s">
        <v>50</v>
      </c>
      <c r="G28" s="23">
        <f t="shared" si="0"/>
        <v>4082.7780000000002</v>
      </c>
      <c r="H28" s="45"/>
      <c r="I28" s="27"/>
      <c r="J28" s="27">
        <f>H25</f>
        <v>4082.7780000000002</v>
      </c>
      <c r="K28" s="27"/>
      <c r="L28" s="19"/>
      <c r="M28" s="24"/>
      <c r="P28" s="25">
        <v>60</v>
      </c>
    </row>
    <row r="29" spans="3:16" s="17" customFormat="1" ht="12.75" x14ac:dyDescent="0.2">
      <c r="C29" s="18"/>
      <c r="D29" s="20" t="s">
        <v>51</v>
      </c>
      <c r="E29" s="26" t="s">
        <v>19</v>
      </c>
      <c r="F29" s="22" t="s">
        <v>52</v>
      </c>
      <c r="G29" s="23">
        <f t="shared" si="0"/>
        <v>0</v>
      </c>
      <c r="H29" s="27"/>
      <c r="I29" s="45"/>
      <c r="J29" s="27"/>
      <c r="K29" s="27"/>
      <c r="L29" s="19"/>
      <c r="M29" s="24"/>
      <c r="P29" s="25">
        <v>70</v>
      </c>
    </row>
    <row r="30" spans="3:16" s="17" customFormat="1" ht="12.75" x14ac:dyDescent="0.2">
      <c r="C30" s="18"/>
      <c r="D30" s="20" t="s">
        <v>53</v>
      </c>
      <c r="E30" s="26" t="s">
        <v>20</v>
      </c>
      <c r="F30" s="22" t="s">
        <v>54</v>
      </c>
      <c r="G30" s="23">
        <f t="shared" si="0"/>
        <v>4589.1080000000002</v>
      </c>
      <c r="H30" s="27"/>
      <c r="I30" s="27"/>
      <c r="J30" s="45"/>
      <c r="K30" s="27">
        <f>H25+J25-J36-J46</f>
        <v>4589.1080000000002</v>
      </c>
      <c r="L30" s="19"/>
      <c r="M30" s="24"/>
      <c r="P30" s="25">
        <v>80</v>
      </c>
    </row>
    <row r="31" spans="3:16" s="17" customFormat="1" ht="12.75" x14ac:dyDescent="0.2">
      <c r="C31" s="18"/>
      <c r="D31" s="20" t="s">
        <v>55</v>
      </c>
      <c r="E31" s="26" t="s">
        <v>56</v>
      </c>
      <c r="F31" s="22" t="s">
        <v>57</v>
      </c>
      <c r="G31" s="23">
        <f t="shared" si="0"/>
        <v>0</v>
      </c>
      <c r="H31" s="27"/>
      <c r="I31" s="27"/>
      <c r="J31" s="27"/>
      <c r="K31" s="45"/>
      <c r="L31" s="19"/>
      <c r="M31" s="24"/>
      <c r="P31" s="25">
        <v>90</v>
      </c>
    </row>
    <row r="32" spans="3:16" s="17" customFormat="1" ht="12.75" x14ac:dyDescent="0.2">
      <c r="C32" s="18"/>
      <c r="D32" s="20" t="s">
        <v>58</v>
      </c>
      <c r="E32" s="46" t="s">
        <v>59</v>
      </c>
      <c r="F32" s="22" t="s">
        <v>60</v>
      </c>
      <c r="G32" s="23">
        <f t="shared" si="0"/>
        <v>0</v>
      </c>
      <c r="H32" s="27"/>
      <c r="I32" s="27"/>
      <c r="J32" s="27"/>
      <c r="K32" s="27"/>
      <c r="L32" s="19"/>
      <c r="M32" s="24"/>
      <c r="P32" s="25"/>
    </row>
    <row r="33" spans="3:16" s="17" customFormat="1" ht="12.75" x14ac:dyDescent="0.2">
      <c r="C33" s="18"/>
      <c r="D33" s="20" t="s">
        <v>61</v>
      </c>
      <c r="E33" s="21" t="s">
        <v>62</v>
      </c>
      <c r="F33" s="47" t="s">
        <v>63</v>
      </c>
      <c r="G33" s="23">
        <f t="shared" si="0"/>
        <v>5120.34</v>
      </c>
      <c r="H33" s="23">
        <f>H34+H36+H39+H42</f>
        <v>0</v>
      </c>
      <c r="I33" s="23">
        <f>I34+I36+I39+I42</f>
        <v>0</v>
      </c>
      <c r="J33" s="23">
        <f>J34+J36+J39+J42</f>
        <v>568.68299999999999</v>
      </c>
      <c r="K33" s="23">
        <f>K34+K36+K39+K42</f>
        <v>4551.6570000000002</v>
      </c>
      <c r="L33" s="19"/>
      <c r="M33" s="24"/>
      <c r="P33" s="25">
        <v>100</v>
      </c>
    </row>
    <row r="34" spans="3:16" s="17" customFormat="1" ht="22.5" x14ac:dyDescent="0.2">
      <c r="C34" s="18"/>
      <c r="D34" s="20" t="s">
        <v>64</v>
      </c>
      <c r="E34" s="26" t="s">
        <v>65</v>
      </c>
      <c r="F34" s="22" t="s">
        <v>66</v>
      </c>
      <c r="G34" s="23">
        <f t="shared" si="0"/>
        <v>0</v>
      </c>
      <c r="H34" s="27"/>
      <c r="I34" s="27"/>
      <c r="J34" s="27"/>
      <c r="K34" s="27"/>
      <c r="L34" s="19"/>
      <c r="M34" s="24"/>
      <c r="P34" s="25"/>
    </row>
    <row r="35" spans="3:16" s="17" customFormat="1" ht="12.75" x14ac:dyDescent="0.2">
      <c r="C35" s="18"/>
      <c r="D35" s="20" t="s">
        <v>67</v>
      </c>
      <c r="E35" s="48" t="s">
        <v>68</v>
      </c>
      <c r="F35" s="22" t="s">
        <v>69</v>
      </c>
      <c r="G35" s="23">
        <f t="shared" si="0"/>
        <v>0</v>
      </c>
      <c r="H35" s="27"/>
      <c r="I35" s="27"/>
      <c r="J35" s="27"/>
      <c r="K35" s="27"/>
      <c r="L35" s="19"/>
      <c r="M35" s="24"/>
      <c r="P35" s="25"/>
    </row>
    <row r="36" spans="3:16" s="17" customFormat="1" ht="12.75" x14ac:dyDescent="0.2">
      <c r="C36" s="18"/>
      <c r="D36" s="20" t="s">
        <v>70</v>
      </c>
      <c r="E36" s="26" t="s">
        <v>71</v>
      </c>
      <c r="F36" s="22" t="s">
        <v>72</v>
      </c>
      <c r="G36" s="23">
        <f t="shared" si="0"/>
        <v>5120.34</v>
      </c>
      <c r="H36" s="27">
        <v>0</v>
      </c>
      <c r="I36" s="27">
        <v>0</v>
      </c>
      <c r="J36" s="42">
        <f>апрель!J36+май!J36+июнь!J36</f>
        <v>568.68299999999999</v>
      </c>
      <c r="K36" s="42">
        <f>апрель!K36+май!K36+июнь!K36</f>
        <v>4551.6570000000002</v>
      </c>
      <c r="L36" s="19"/>
      <c r="M36" s="24"/>
      <c r="P36" s="25"/>
    </row>
    <row r="37" spans="3:16" s="17" customFormat="1" ht="12.75" x14ac:dyDescent="0.2">
      <c r="C37" s="18"/>
      <c r="D37" s="20" t="s">
        <v>73</v>
      </c>
      <c r="E37" s="48" t="s">
        <v>74</v>
      </c>
      <c r="F37" s="22" t="s">
        <v>75</v>
      </c>
      <c r="G37" s="23">
        <f t="shared" si="0"/>
        <v>0</v>
      </c>
      <c r="H37" s="27"/>
      <c r="I37" s="27"/>
      <c r="J37" s="27"/>
      <c r="K37" s="27"/>
      <c r="L37" s="19"/>
      <c r="M37" s="24"/>
      <c r="P37" s="25"/>
    </row>
    <row r="38" spans="3:16" s="17" customFormat="1" ht="12.75" x14ac:dyDescent="0.2">
      <c r="C38" s="18"/>
      <c r="D38" s="20" t="s">
        <v>76</v>
      </c>
      <c r="E38" s="49" t="s">
        <v>68</v>
      </c>
      <c r="F38" s="22" t="s">
        <v>77</v>
      </c>
      <c r="G38" s="23">
        <f t="shared" si="0"/>
        <v>0</v>
      </c>
      <c r="H38" s="27"/>
      <c r="I38" s="27"/>
      <c r="J38" s="27"/>
      <c r="K38" s="27"/>
      <c r="L38" s="19"/>
      <c r="M38" s="24"/>
      <c r="P38" s="25"/>
    </row>
    <row r="39" spans="3:16" s="17" customFormat="1" ht="12.75" x14ac:dyDescent="0.2">
      <c r="C39" s="18"/>
      <c r="D39" s="20" t="s">
        <v>78</v>
      </c>
      <c r="E39" s="26" t="s">
        <v>79</v>
      </c>
      <c r="F39" s="22" t="s">
        <v>80</v>
      </c>
      <c r="G39" s="23">
        <f t="shared" si="0"/>
        <v>0</v>
      </c>
      <c r="H39" s="23">
        <f>SUM(H40:H41)</f>
        <v>0</v>
      </c>
      <c r="I39" s="23">
        <f>SUM(I40:I41)</f>
        <v>0</v>
      </c>
      <c r="J39" s="23">
        <f>SUM(J40:J41)</f>
        <v>0</v>
      </c>
      <c r="K39" s="23">
        <f>SUM(K40:K41)</f>
        <v>0</v>
      </c>
      <c r="L39" s="19"/>
      <c r="M39" s="24"/>
      <c r="P39" s="25"/>
    </row>
    <row r="40" spans="3:16" s="17" customFormat="1" ht="12.75" x14ac:dyDescent="0.2">
      <c r="C40" s="18"/>
      <c r="D40" s="28" t="s">
        <v>81</v>
      </c>
      <c r="E40" s="29"/>
      <c r="F40" s="30" t="s">
        <v>80</v>
      </c>
      <c r="G40" s="31"/>
      <c r="H40" s="31"/>
      <c r="I40" s="31"/>
      <c r="J40" s="31"/>
      <c r="K40" s="31"/>
      <c r="L40" s="19"/>
      <c r="M40" s="24"/>
      <c r="P40" s="25"/>
    </row>
    <row r="41" spans="3:16" s="17" customFormat="1" ht="12.75" x14ac:dyDescent="0.2">
      <c r="C41" s="18"/>
      <c r="D41" s="50"/>
      <c r="E41" s="33" t="s">
        <v>31</v>
      </c>
      <c r="F41" s="34"/>
      <c r="G41" s="34"/>
      <c r="H41" s="34"/>
      <c r="I41" s="34"/>
      <c r="J41" s="34"/>
      <c r="K41" s="35"/>
      <c r="L41" s="19"/>
      <c r="M41" s="24"/>
      <c r="P41" s="25"/>
    </row>
    <row r="42" spans="3:16" s="17" customFormat="1" ht="12.75" x14ac:dyDescent="0.2">
      <c r="C42" s="18"/>
      <c r="D42" s="20" t="s">
        <v>82</v>
      </c>
      <c r="E42" s="51" t="s">
        <v>83</v>
      </c>
      <c r="F42" s="22" t="s">
        <v>84</v>
      </c>
      <c r="G42" s="23">
        <f t="shared" si="0"/>
        <v>0</v>
      </c>
      <c r="H42" s="27"/>
      <c r="I42" s="27"/>
      <c r="J42" s="27"/>
      <c r="K42" s="27"/>
      <c r="L42" s="19"/>
      <c r="M42" s="24"/>
      <c r="P42" s="25">
        <v>120</v>
      </c>
    </row>
    <row r="43" spans="3:16" s="17" customFormat="1" ht="12.75" x14ac:dyDescent="0.2">
      <c r="C43" s="18"/>
      <c r="D43" s="20" t="s">
        <v>85</v>
      </c>
      <c r="E43" s="21" t="s">
        <v>86</v>
      </c>
      <c r="F43" s="22" t="s">
        <v>87</v>
      </c>
      <c r="G43" s="23">
        <f t="shared" si="0"/>
        <v>8671.8860000000004</v>
      </c>
      <c r="H43" s="27">
        <f>J28</f>
        <v>4082.7780000000002</v>
      </c>
      <c r="I43" s="27"/>
      <c r="J43" s="27">
        <f>K30</f>
        <v>4589.1080000000002</v>
      </c>
      <c r="K43" s="27"/>
      <c r="L43" s="19"/>
      <c r="M43" s="24"/>
      <c r="P43" s="25">
        <v>150</v>
      </c>
    </row>
    <row r="44" spans="3:16" s="17" customFormat="1" ht="12.75" x14ac:dyDescent="0.2">
      <c r="C44" s="18"/>
      <c r="D44" s="20" t="s">
        <v>88</v>
      </c>
      <c r="E44" s="21" t="s">
        <v>89</v>
      </c>
      <c r="F44" s="22" t="s">
        <v>90</v>
      </c>
      <c r="G44" s="23">
        <f t="shared" si="0"/>
        <v>0</v>
      </c>
      <c r="H44" s="27"/>
      <c r="I44" s="27"/>
      <c r="J44" s="27"/>
      <c r="K44" s="27"/>
      <c r="L44" s="19"/>
      <c r="M44" s="24"/>
      <c r="P44" s="25">
        <v>160</v>
      </c>
    </row>
    <row r="45" spans="3:16" s="17" customFormat="1" ht="12.75" x14ac:dyDescent="0.2">
      <c r="C45" s="18"/>
      <c r="D45" s="20" t="s">
        <v>91</v>
      </c>
      <c r="E45" s="21" t="s">
        <v>92</v>
      </c>
      <c r="F45" s="22" t="s">
        <v>93</v>
      </c>
      <c r="G45" s="23">
        <f t="shared" si="0"/>
        <v>0</v>
      </c>
      <c r="H45" s="27"/>
      <c r="I45" s="27"/>
      <c r="J45" s="27"/>
      <c r="K45" s="27"/>
      <c r="L45" s="19"/>
      <c r="M45" s="24"/>
      <c r="P45" s="25">
        <v>180</v>
      </c>
    </row>
    <row r="46" spans="3:16" s="17" customFormat="1" ht="12.75" x14ac:dyDescent="0.2">
      <c r="C46" s="18"/>
      <c r="D46" s="20" t="s">
        <v>94</v>
      </c>
      <c r="E46" s="21" t="s">
        <v>95</v>
      </c>
      <c r="F46" s="22" t="s">
        <v>96</v>
      </c>
      <c r="G46" s="23">
        <f t="shared" si="0"/>
        <v>37.451000000000022</v>
      </c>
      <c r="H46" s="27"/>
      <c r="I46" s="27"/>
      <c r="J46" s="27"/>
      <c r="K46" s="27">
        <f>G25-G36</f>
        <v>37.451000000000022</v>
      </c>
      <c r="L46" s="19"/>
      <c r="M46" s="24"/>
      <c r="P46" s="25">
        <v>190</v>
      </c>
    </row>
    <row r="47" spans="3:16" s="17" customFormat="1" ht="12.75" x14ac:dyDescent="0.2">
      <c r="C47" s="18"/>
      <c r="D47" s="20" t="s">
        <v>97</v>
      </c>
      <c r="E47" s="26" t="s">
        <v>98</v>
      </c>
      <c r="F47" s="22" t="s">
        <v>99</v>
      </c>
      <c r="G47" s="23">
        <f t="shared" si="0"/>
        <v>0</v>
      </c>
      <c r="H47" s="27"/>
      <c r="I47" s="27"/>
      <c r="J47" s="27">
        <v>0</v>
      </c>
      <c r="K47" s="27">
        <v>0</v>
      </c>
      <c r="L47" s="19"/>
      <c r="M47" s="24"/>
      <c r="P47" s="25">
        <v>200</v>
      </c>
    </row>
    <row r="48" spans="3:16" s="17" customFormat="1" ht="12.75" x14ac:dyDescent="0.2">
      <c r="C48" s="18"/>
      <c r="D48" s="20" t="s">
        <v>100</v>
      </c>
      <c r="E48" s="21" t="s">
        <v>101</v>
      </c>
      <c r="F48" s="22" t="s">
        <v>102</v>
      </c>
      <c r="G48" s="23">
        <f t="shared" si="0"/>
        <v>123.313</v>
      </c>
      <c r="H48" s="27"/>
      <c r="I48" s="27"/>
      <c r="J48" s="42">
        <f>апрель!J48+май!J48+июнь!J48</f>
        <v>0</v>
      </c>
      <c r="K48" s="42">
        <f>апрель!K48+май!K48+июнь!K48</f>
        <v>123.313</v>
      </c>
      <c r="L48" s="19"/>
      <c r="M48" s="24"/>
      <c r="P48" s="36"/>
    </row>
    <row r="49" spans="3:16" s="17" customFormat="1" ht="22.5" x14ac:dyDescent="0.2">
      <c r="C49" s="18"/>
      <c r="D49" s="20" t="s">
        <v>103</v>
      </c>
      <c r="E49" s="46" t="s">
        <v>104</v>
      </c>
      <c r="F49" s="22" t="s">
        <v>105</v>
      </c>
      <c r="G49" s="23">
        <f t="shared" si="0"/>
        <v>-85.861999999999981</v>
      </c>
      <c r="H49" s="23">
        <f>H46-H48</f>
        <v>0</v>
      </c>
      <c r="I49" s="23">
        <f>I46-I48</f>
        <v>0</v>
      </c>
      <c r="J49" s="23">
        <f>J46-J48</f>
        <v>0</v>
      </c>
      <c r="K49" s="23">
        <f>K46-K48</f>
        <v>-85.861999999999981</v>
      </c>
      <c r="L49" s="19"/>
      <c r="M49" s="24"/>
      <c r="P49" s="36"/>
    </row>
    <row r="50" spans="3:16" s="17" customFormat="1" ht="12.75" x14ac:dyDescent="0.2">
      <c r="C50" s="18"/>
      <c r="D50" s="20" t="s">
        <v>106</v>
      </c>
      <c r="E50" s="21" t="s">
        <v>107</v>
      </c>
      <c r="F50" s="22" t="s">
        <v>108</v>
      </c>
      <c r="G50" s="23">
        <f t="shared" si="0"/>
        <v>0</v>
      </c>
      <c r="H50" s="23">
        <f>(H15+H27+H32)-(H33+H43+H44+H45+H46)</f>
        <v>0</v>
      </c>
      <c r="I50" s="23">
        <f>(I15+I27+I32)-(I33+I43+I44+I45+I46)</f>
        <v>0</v>
      </c>
      <c r="J50" s="23">
        <f>(J15+J27+J32)-(J33+J43+J44+J45+J46)</f>
        <v>0</v>
      </c>
      <c r="K50" s="23">
        <f>(K15+K27+K32)-(K33+K43+K44+K45+K46)</f>
        <v>0</v>
      </c>
      <c r="L50" s="19"/>
      <c r="M50" s="24"/>
      <c r="P50" s="25">
        <v>210</v>
      </c>
    </row>
    <row r="51" spans="3:16" s="17" customFormat="1" ht="12.75" x14ac:dyDescent="0.2">
      <c r="C51" s="18"/>
      <c r="D51" s="87" t="s">
        <v>109</v>
      </c>
      <c r="E51" s="88"/>
      <c r="F51" s="88"/>
      <c r="G51" s="88"/>
      <c r="H51" s="88"/>
      <c r="I51" s="88"/>
      <c r="J51" s="88"/>
      <c r="K51" s="89"/>
      <c r="L51" s="19"/>
      <c r="M51" s="24"/>
      <c r="P51" s="36"/>
    </row>
    <row r="52" spans="3:16" s="17" customFormat="1" ht="12.75" x14ac:dyDescent="0.2">
      <c r="C52" s="18"/>
      <c r="D52" s="20" t="s">
        <v>110</v>
      </c>
      <c r="E52" s="21" t="s">
        <v>24</v>
      </c>
      <c r="F52" s="22" t="s">
        <v>111</v>
      </c>
      <c r="G52" s="23">
        <f t="shared" si="0"/>
        <v>3.8727999999999998</v>
      </c>
      <c r="H52" s="23">
        <f>H53+H54+H57+H60</f>
        <v>0.92947199999999996</v>
      </c>
      <c r="I52" s="23">
        <f>I53+I54+I57+I60</f>
        <v>0</v>
      </c>
      <c r="J52" s="23">
        <f>J53+J54+J57+J60</f>
        <v>2.9433279999999997</v>
      </c>
      <c r="K52" s="23">
        <f>K53+K54+K57+K60</f>
        <v>0</v>
      </c>
      <c r="L52" s="19"/>
      <c r="M52" s="24"/>
      <c r="P52" s="25">
        <v>300</v>
      </c>
    </row>
    <row r="53" spans="3:16" s="17" customFormat="1" ht="12.75" x14ac:dyDescent="0.2">
      <c r="C53" s="18"/>
      <c r="D53" s="20" t="s">
        <v>112</v>
      </c>
      <c r="E53" s="26" t="s">
        <v>26</v>
      </c>
      <c r="F53" s="22" t="s">
        <v>113</v>
      </c>
      <c r="G53" s="23">
        <f t="shared" si="0"/>
        <v>0</v>
      </c>
      <c r="H53" s="27"/>
      <c r="I53" s="27"/>
      <c r="J53" s="27"/>
      <c r="K53" s="27"/>
      <c r="L53" s="19"/>
      <c r="M53" s="24"/>
      <c r="P53" s="25">
        <v>310</v>
      </c>
    </row>
    <row r="54" spans="3:16" s="17" customFormat="1" ht="12.75" x14ac:dyDescent="0.2">
      <c r="C54" s="18"/>
      <c r="D54" s="20" t="s">
        <v>114</v>
      </c>
      <c r="E54" s="26" t="s">
        <v>28</v>
      </c>
      <c r="F54" s="22" t="s">
        <v>115</v>
      </c>
      <c r="G54" s="23">
        <f t="shared" si="0"/>
        <v>0</v>
      </c>
      <c r="H54" s="23">
        <f>SUM(H55:H56)</f>
        <v>0</v>
      </c>
      <c r="I54" s="23">
        <f>SUM(I55:I56)</f>
        <v>0</v>
      </c>
      <c r="J54" s="23">
        <f>SUM(J55:J56)</f>
        <v>0</v>
      </c>
      <c r="K54" s="23">
        <f>SUM(K55:K56)</f>
        <v>0</v>
      </c>
      <c r="L54" s="19"/>
      <c r="M54" s="24"/>
      <c r="P54" s="25">
        <v>320</v>
      </c>
    </row>
    <row r="55" spans="3:16" s="17" customFormat="1" ht="12.75" x14ac:dyDescent="0.2">
      <c r="C55" s="18"/>
      <c r="D55" s="28" t="s">
        <v>116</v>
      </c>
      <c r="E55" s="29"/>
      <c r="F55" s="30" t="s">
        <v>115</v>
      </c>
      <c r="G55" s="31"/>
      <c r="H55" s="31"/>
      <c r="I55" s="31"/>
      <c r="J55" s="31"/>
      <c r="K55" s="31"/>
      <c r="L55" s="19"/>
      <c r="M55" s="24"/>
      <c r="P55" s="25"/>
    </row>
    <row r="56" spans="3:16" s="17" customFormat="1" ht="12.75" x14ac:dyDescent="0.2">
      <c r="C56" s="18"/>
      <c r="D56" s="32"/>
      <c r="E56" s="33" t="s">
        <v>31</v>
      </c>
      <c r="F56" s="34"/>
      <c r="G56" s="34"/>
      <c r="H56" s="34"/>
      <c r="I56" s="34"/>
      <c r="J56" s="34"/>
      <c r="K56" s="35"/>
      <c r="L56" s="19"/>
      <c r="M56" s="24"/>
      <c r="P56" s="25"/>
    </row>
    <row r="57" spans="3:16" s="17" customFormat="1" ht="12.75" x14ac:dyDescent="0.2">
      <c r="C57" s="18"/>
      <c r="D57" s="20" t="s">
        <v>117</v>
      </c>
      <c r="E57" s="26" t="s">
        <v>33</v>
      </c>
      <c r="F57" s="22" t="s">
        <v>118</v>
      </c>
      <c r="G57" s="23">
        <f t="shared" si="0"/>
        <v>0</v>
      </c>
      <c r="H57" s="23">
        <f>SUM(H58:H59)</f>
        <v>0</v>
      </c>
      <c r="I57" s="23">
        <f>SUM(I58:I59)</f>
        <v>0</v>
      </c>
      <c r="J57" s="23">
        <f>SUM(J58:J59)</f>
        <v>0</v>
      </c>
      <c r="K57" s="23">
        <f>SUM(K58:K59)</f>
        <v>0</v>
      </c>
      <c r="L57" s="19"/>
      <c r="M57" s="24"/>
      <c r="P57" s="25"/>
    </row>
    <row r="58" spans="3:16" s="17" customFormat="1" ht="12.75" x14ac:dyDescent="0.2">
      <c r="C58" s="18"/>
      <c r="D58" s="28" t="s">
        <v>119</v>
      </c>
      <c r="E58" s="29"/>
      <c r="F58" s="30" t="s">
        <v>118</v>
      </c>
      <c r="G58" s="31"/>
      <c r="H58" s="31"/>
      <c r="I58" s="31"/>
      <c r="J58" s="31"/>
      <c r="K58" s="31"/>
      <c r="L58" s="19"/>
      <c r="M58" s="24"/>
      <c r="P58" s="25"/>
    </row>
    <row r="59" spans="3:16" s="17" customFormat="1" ht="12.75" x14ac:dyDescent="0.2">
      <c r="C59" s="18"/>
      <c r="D59" s="32"/>
      <c r="E59" s="33" t="s">
        <v>31</v>
      </c>
      <c r="F59" s="34"/>
      <c r="G59" s="34"/>
      <c r="H59" s="34"/>
      <c r="I59" s="34"/>
      <c r="J59" s="34"/>
      <c r="K59" s="35"/>
      <c r="L59" s="19"/>
      <c r="M59" s="24"/>
      <c r="P59" s="25"/>
    </row>
    <row r="60" spans="3:16" s="17" customFormat="1" ht="12.75" x14ac:dyDescent="0.2">
      <c r="C60" s="18"/>
      <c r="D60" s="20" t="s">
        <v>120</v>
      </c>
      <c r="E60" s="26" t="s">
        <v>37</v>
      </c>
      <c r="F60" s="22" t="s">
        <v>121</v>
      </c>
      <c r="G60" s="23">
        <f t="shared" si="0"/>
        <v>3.8727999999999998</v>
      </c>
      <c r="H60" s="23">
        <f>SUM(H61:H63)</f>
        <v>0.92947199999999996</v>
      </c>
      <c r="I60" s="23">
        <f>SUM(I61:I63)</f>
        <v>0</v>
      </c>
      <c r="J60" s="23">
        <f>SUM(J61:J63)</f>
        <v>2.9433279999999997</v>
      </c>
      <c r="K60" s="23">
        <f>SUM(K61:K63)</f>
        <v>0</v>
      </c>
      <c r="L60" s="19"/>
      <c r="M60" s="24"/>
      <c r="P60" s="25">
        <v>330</v>
      </c>
    </row>
    <row r="61" spans="3:16" s="17" customFormat="1" ht="12.75" x14ac:dyDescent="0.2">
      <c r="C61" s="18"/>
      <c r="D61" s="28" t="s">
        <v>122</v>
      </c>
      <c r="E61" s="29"/>
      <c r="F61" s="30" t="s">
        <v>121</v>
      </c>
      <c r="G61" s="31"/>
      <c r="H61" s="31"/>
      <c r="I61" s="31"/>
      <c r="J61" s="31"/>
      <c r="K61" s="31"/>
      <c r="L61" s="19"/>
      <c r="M61" s="24"/>
      <c r="P61" s="25"/>
    </row>
    <row r="62" spans="3:16" s="17" customFormat="1" ht="15" x14ac:dyDescent="0.25">
      <c r="C62" s="37" t="s">
        <v>40</v>
      </c>
      <c r="D62" s="38" t="s">
        <v>123</v>
      </c>
      <c r="E62" s="39" t="s">
        <v>42</v>
      </c>
      <c r="F62" s="40">
        <v>1461</v>
      </c>
      <c r="G62" s="41">
        <f>SUM(H62:K62)</f>
        <v>3.8727999999999998</v>
      </c>
      <c r="H62" s="42">
        <f>(апрель!H62+май!H62+июнь!H62)/3</f>
        <v>0.92947199999999996</v>
      </c>
      <c r="I62" s="52">
        <v>0</v>
      </c>
      <c r="J62" s="42">
        <f>(апрель!J62+май!J62+июнь!J62)/3</f>
        <v>2.9433279999999997</v>
      </c>
      <c r="K62" s="53">
        <v>0</v>
      </c>
      <c r="L62" s="19"/>
      <c r="M62" s="43" t="s">
        <v>43</v>
      </c>
      <c r="N62" s="44" t="s">
        <v>44</v>
      </c>
      <c r="O62" s="44" t="s">
        <v>45</v>
      </c>
    </row>
    <row r="63" spans="3:16" s="17" customFormat="1" ht="12.75" x14ac:dyDescent="0.2">
      <c r="C63" s="18"/>
      <c r="D63" s="32"/>
      <c r="E63" s="33" t="s">
        <v>31</v>
      </c>
      <c r="F63" s="34"/>
      <c r="G63" s="34"/>
      <c r="H63" s="34"/>
      <c r="I63" s="34"/>
      <c r="J63" s="34"/>
      <c r="K63" s="35"/>
      <c r="L63" s="19"/>
      <c r="M63" s="24"/>
      <c r="P63" s="25"/>
    </row>
    <row r="64" spans="3:16" s="17" customFormat="1" ht="12.75" x14ac:dyDescent="0.2">
      <c r="C64" s="18"/>
      <c r="D64" s="20" t="s">
        <v>124</v>
      </c>
      <c r="E64" s="21" t="s">
        <v>47</v>
      </c>
      <c r="F64" s="22" t="s">
        <v>125</v>
      </c>
      <c r="G64" s="23">
        <f t="shared" si="0"/>
        <v>3.9177599999999999</v>
      </c>
      <c r="H64" s="23">
        <f>H66+H67+H68</f>
        <v>0</v>
      </c>
      <c r="I64" s="23">
        <f>I65+I67+I68</f>
        <v>0</v>
      </c>
      <c r="J64" s="23">
        <f>J65+J66+J68</f>
        <v>0.92947199999999996</v>
      </c>
      <c r="K64" s="23">
        <f>K65+K66+K67</f>
        <v>2.9882879999999998</v>
      </c>
      <c r="L64" s="19"/>
      <c r="M64" s="24"/>
      <c r="P64" s="25">
        <v>340</v>
      </c>
    </row>
    <row r="65" spans="3:16" s="17" customFormat="1" ht="12.75" x14ac:dyDescent="0.2">
      <c r="C65" s="18"/>
      <c r="D65" s="20" t="s">
        <v>126</v>
      </c>
      <c r="E65" s="26" t="s">
        <v>18</v>
      </c>
      <c r="F65" s="22" t="s">
        <v>127</v>
      </c>
      <c r="G65" s="23">
        <f t="shared" si="0"/>
        <v>0.92947199999999996</v>
      </c>
      <c r="H65" s="45"/>
      <c r="I65" s="27"/>
      <c r="J65" s="27">
        <f>H62</f>
        <v>0.92947199999999996</v>
      </c>
      <c r="K65" s="27"/>
      <c r="L65" s="19"/>
      <c r="M65" s="24"/>
      <c r="P65" s="25">
        <v>350</v>
      </c>
    </row>
    <row r="66" spans="3:16" s="17" customFormat="1" ht="12.75" x14ac:dyDescent="0.2">
      <c r="C66" s="18"/>
      <c r="D66" s="20" t="s">
        <v>128</v>
      </c>
      <c r="E66" s="26" t="s">
        <v>19</v>
      </c>
      <c r="F66" s="22" t="s">
        <v>129</v>
      </c>
      <c r="G66" s="23">
        <f t="shared" si="0"/>
        <v>0</v>
      </c>
      <c r="H66" s="27"/>
      <c r="I66" s="54"/>
      <c r="J66" s="27"/>
      <c r="K66" s="27"/>
      <c r="L66" s="19"/>
      <c r="M66" s="24"/>
      <c r="P66" s="25">
        <v>360</v>
      </c>
    </row>
    <row r="67" spans="3:16" s="17" customFormat="1" ht="12.75" x14ac:dyDescent="0.2">
      <c r="C67" s="18"/>
      <c r="D67" s="20" t="s">
        <v>130</v>
      </c>
      <c r="E67" s="26" t="s">
        <v>20</v>
      </c>
      <c r="F67" s="22" t="s">
        <v>131</v>
      </c>
      <c r="G67" s="23">
        <f t="shared" si="0"/>
        <v>2.9882879999999998</v>
      </c>
      <c r="H67" s="27"/>
      <c r="I67" s="27"/>
      <c r="J67" s="45"/>
      <c r="K67" s="27">
        <f>K73+K83</f>
        <v>2.9882879999999998</v>
      </c>
      <c r="L67" s="19"/>
      <c r="M67" s="24"/>
      <c r="P67" s="25">
        <v>370</v>
      </c>
    </row>
    <row r="68" spans="3:16" s="17" customFormat="1" ht="12.75" x14ac:dyDescent="0.2">
      <c r="C68" s="18"/>
      <c r="D68" s="20" t="s">
        <v>132</v>
      </c>
      <c r="E68" s="26" t="s">
        <v>56</v>
      </c>
      <c r="F68" s="22" t="s">
        <v>133</v>
      </c>
      <c r="G68" s="23">
        <f t="shared" si="0"/>
        <v>0</v>
      </c>
      <c r="H68" s="27"/>
      <c r="I68" s="27"/>
      <c r="J68" s="27"/>
      <c r="K68" s="45"/>
      <c r="L68" s="19"/>
      <c r="M68" s="24"/>
      <c r="P68" s="25">
        <v>380</v>
      </c>
    </row>
    <row r="69" spans="3:16" s="17" customFormat="1" ht="12.75" x14ac:dyDescent="0.2">
      <c r="C69" s="18"/>
      <c r="D69" s="20" t="s">
        <v>134</v>
      </c>
      <c r="E69" s="46" t="s">
        <v>59</v>
      </c>
      <c r="F69" s="22" t="s">
        <v>135</v>
      </c>
      <c r="G69" s="23">
        <f t="shared" si="0"/>
        <v>0</v>
      </c>
      <c r="H69" s="27"/>
      <c r="I69" s="27"/>
      <c r="J69" s="27"/>
      <c r="K69" s="27"/>
      <c r="L69" s="19"/>
      <c r="M69" s="24"/>
      <c r="P69" s="25"/>
    </row>
    <row r="70" spans="3:16" s="17" customFormat="1" ht="12.75" x14ac:dyDescent="0.2">
      <c r="C70" s="18"/>
      <c r="D70" s="20" t="s">
        <v>136</v>
      </c>
      <c r="E70" s="21" t="s">
        <v>62</v>
      </c>
      <c r="F70" s="47" t="s">
        <v>137</v>
      </c>
      <c r="G70" s="23">
        <f t="shared" si="0"/>
        <v>3.6854666666666671</v>
      </c>
      <c r="H70" s="23">
        <f>H71+H73+H76+H79</f>
        <v>0</v>
      </c>
      <c r="I70" s="23">
        <f>I71+I73+I76+I79</f>
        <v>0</v>
      </c>
      <c r="J70" s="23">
        <f>J71+J73+J76+J79</f>
        <v>0.88451199999999996</v>
      </c>
      <c r="K70" s="23">
        <f>K71+K73+K76+K79</f>
        <v>2.8009546666666671</v>
      </c>
      <c r="L70" s="19"/>
      <c r="M70" s="24"/>
      <c r="P70" s="25">
        <v>390</v>
      </c>
    </row>
    <row r="71" spans="3:16" s="17" customFormat="1" ht="22.5" x14ac:dyDescent="0.2">
      <c r="C71" s="18"/>
      <c r="D71" s="20" t="s">
        <v>138</v>
      </c>
      <c r="E71" s="26" t="s">
        <v>65</v>
      </c>
      <c r="F71" s="22" t="s">
        <v>139</v>
      </c>
      <c r="G71" s="23">
        <f t="shared" si="0"/>
        <v>0</v>
      </c>
      <c r="H71" s="27"/>
      <c r="I71" s="27"/>
      <c r="J71" s="27"/>
      <c r="K71" s="27"/>
      <c r="L71" s="19"/>
      <c r="M71" s="24"/>
      <c r="P71" s="25"/>
    </row>
    <row r="72" spans="3:16" s="17" customFormat="1" ht="12.75" x14ac:dyDescent="0.2">
      <c r="C72" s="18"/>
      <c r="D72" s="20" t="s">
        <v>140</v>
      </c>
      <c r="E72" s="48" t="s">
        <v>68</v>
      </c>
      <c r="F72" s="22" t="s">
        <v>141</v>
      </c>
      <c r="G72" s="23">
        <f t="shared" si="0"/>
        <v>0</v>
      </c>
      <c r="H72" s="27"/>
      <c r="I72" s="27"/>
      <c r="J72" s="27"/>
      <c r="K72" s="27"/>
      <c r="L72" s="19"/>
      <c r="M72" s="24"/>
      <c r="P72" s="25"/>
    </row>
    <row r="73" spans="3:16" s="17" customFormat="1" ht="12.75" x14ac:dyDescent="0.2">
      <c r="C73" s="18"/>
      <c r="D73" s="20" t="s">
        <v>142</v>
      </c>
      <c r="E73" s="26" t="s">
        <v>71</v>
      </c>
      <c r="F73" s="22" t="s">
        <v>143</v>
      </c>
      <c r="G73" s="23">
        <f t="shared" si="0"/>
        <v>3.6854666666666671</v>
      </c>
      <c r="H73" s="27">
        <v>0</v>
      </c>
      <c r="I73" s="27">
        <v>0</v>
      </c>
      <c r="J73" s="42">
        <f>(апрель!J73+май!J73+июнь!J73)/3</f>
        <v>0.88451199999999996</v>
      </c>
      <c r="K73" s="42">
        <f>(апрель!K73+май!K73+июнь!K73)/3</f>
        <v>2.8009546666666671</v>
      </c>
      <c r="L73" s="19"/>
      <c r="M73" s="24"/>
      <c r="P73" s="25"/>
    </row>
    <row r="74" spans="3:16" s="17" customFormat="1" ht="12.75" x14ac:dyDescent="0.2">
      <c r="C74" s="18"/>
      <c r="D74" s="20" t="s">
        <v>144</v>
      </c>
      <c r="E74" s="48" t="s">
        <v>74</v>
      </c>
      <c r="F74" s="22" t="s">
        <v>145</v>
      </c>
      <c r="G74" s="23">
        <f t="shared" si="0"/>
        <v>0</v>
      </c>
      <c r="H74" s="27"/>
      <c r="I74" s="27"/>
      <c r="J74" s="27"/>
      <c r="K74" s="27"/>
      <c r="L74" s="19"/>
      <c r="M74" s="24"/>
      <c r="P74" s="25"/>
    </row>
    <row r="75" spans="3:16" s="17" customFormat="1" ht="12.75" x14ac:dyDescent="0.2">
      <c r="C75" s="18"/>
      <c r="D75" s="20" t="s">
        <v>146</v>
      </c>
      <c r="E75" s="49" t="s">
        <v>68</v>
      </c>
      <c r="F75" s="22" t="s">
        <v>147</v>
      </c>
      <c r="G75" s="23">
        <f t="shared" si="0"/>
        <v>0</v>
      </c>
      <c r="H75" s="27"/>
      <c r="I75" s="27"/>
      <c r="J75" s="27"/>
      <c r="K75" s="27"/>
      <c r="L75" s="19"/>
      <c r="M75" s="24"/>
      <c r="P75" s="25"/>
    </row>
    <row r="76" spans="3:16" s="17" customFormat="1" ht="12.75" x14ac:dyDescent="0.2">
      <c r="C76" s="18"/>
      <c r="D76" s="20" t="s">
        <v>148</v>
      </c>
      <c r="E76" s="26" t="s">
        <v>79</v>
      </c>
      <c r="F76" s="22" t="s">
        <v>149</v>
      </c>
      <c r="G76" s="23">
        <f t="shared" si="0"/>
        <v>0</v>
      </c>
      <c r="H76" s="23">
        <f>SUM(H77:H78)</f>
        <v>0</v>
      </c>
      <c r="I76" s="23">
        <f>SUM(I77:I78)</f>
        <v>0</v>
      </c>
      <c r="J76" s="23">
        <f>SUM(J77:J78)</f>
        <v>0</v>
      </c>
      <c r="K76" s="23">
        <f>SUM(K77:K78)</f>
        <v>0</v>
      </c>
      <c r="L76" s="19"/>
      <c r="M76" s="24"/>
      <c r="P76" s="25"/>
    </row>
    <row r="77" spans="3:16" s="17" customFormat="1" ht="12.75" x14ac:dyDescent="0.2">
      <c r="C77" s="18"/>
      <c r="D77" s="28" t="s">
        <v>150</v>
      </c>
      <c r="E77" s="29"/>
      <c r="F77" s="30" t="s">
        <v>149</v>
      </c>
      <c r="G77" s="31"/>
      <c r="H77" s="31"/>
      <c r="I77" s="31"/>
      <c r="J77" s="31"/>
      <c r="K77" s="31"/>
      <c r="L77" s="19"/>
      <c r="M77" s="24"/>
      <c r="P77" s="25"/>
    </row>
    <row r="78" spans="3:16" s="17" customFormat="1" ht="12.75" x14ac:dyDescent="0.2">
      <c r="C78" s="18"/>
      <c r="D78" s="32"/>
      <c r="E78" s="33" t="s">
        <v>31</v>
      </c>
      <c r="F78" s="34"/>
      <c r="G78" s="34"/>
      <c r="H78" s="34"/>
      <c r="I78" s="34"/>
      <c r="J78" s="34"/>
      <c r="K78" s="35"/>
      <c r="L78" s="19"/>
      <c r="M78" s="24"/>
      <c r="P78" s="25"/>
    </row>
    <row r="79" spans="3:16" s="17" customFormat="1" ht="12.75" x14ac:dyDescent="0.2">
      <c r="C79" s="18"/>
      <c r="D79" s="20" t="s">
        <v>151</v>
      </c>
      <c r="E79" s="51" t="s">
        <v>83</v>
      </c>
      <c r="F79" s="22" t="s">
        <v>152</v>
      </c>
      <c r="G79" s="23">
        <f t="shared" si="0"/>
        <v>0</v>
      </c>
      <c r="H79" s="27"/>
      <c r="I79" s="27"/>
      <c r="J79" s="27"/>
      <c r="K79" s="27"/>
      <c r="L79" s="19"/>
      <c r="M79" s="24"/>
      <c r="P79" s="25">
        <v>410</v>
      </c>
    </row>
    <row r="80" spans="3:16" s="17" customFormat="1" ht="12.75" x14ac:dyDescent="0.2">
      <c r="C80" s="18"/>
      <c r="D80" s="20" t="s">
        <v>153</v>
      </c>
      <c r="E80" s="21" t="s">
        <v>86</v>
      </c>
      <c r="F80" s="22" t="s">
        <v>154</v>
      </c>
      <c r="G80" s="23">
        <f t="shared" si="0"/>
        <v>3.9177599999999999</v>
      </c>
      <c r="H80" s="27">
        <f>H62</f>
        <v>0.92947199999999996</v>
      </c>
      <c r="I80" s="27"/>
      <c r="J80" s="27">
        <f>K67</f>
        <v>2.9882879999999998</v>
      </c>
      <c r="K80" s="27"/>
      <c r="L80" s="19"/>
      <c r="M80" s="24"/>
      <c r="P80" s="25">
        <v>440</v>
      </c>
    </row>
    <row r="81" spans="3:16" s="17" customFormat="1" ht="12.75" x14ac:dyDescent="0.2">
      <c r="C81" s="18"/>
      <c r="D81" s="20" t="s">
        <v>155</v>
      </c>
      <c r="E81" s="21" t="s">
        <v>89</v>
      </c>
      <c r="F81" s="22" t="s">
        <v>156</v>
      </c>
      <c r="G81" s="23">
        <f t="shared" si="0"/>
        <v>0</v>
      </c>
      <c r="H81" s="27"/>
      <c r="I81" s="27"/>
      <c r="J81" s="27"/>
      <c r="K81" s="27"/>
      <c r="L81" s="19"/>
      <c r="M81" s="24"/>
      <c r="P81" s="25">
        <v>450</v>
      </c>
    </row>
    <row r="82" spans="3:16" s="17" customFormat="1" ht="12.75" x14ac:dyDescent="0.2">
      <c r="C82" s="18"/>
      <c r="D82" s="20" t="s">
        <v>157</v>
      </c>
      <c r="E82" s="21" t="s">
        <v>92</v>
      </c>
      <c r="F82" s="22" t="s">
        <v>158</v>
      </c>
      <c r="G82" s="23">
        <f t="shared" si="0"/>
        <v>0</v>
      </c>
      <c r="H82" s="27"/>
      <c r="I82" s="27"/>
      <c r="J82" s="27"/>
      <c r="K82" s="27"/>
      <c r="L82" s="19"/>
      <c r="M82" s="24"/>
      <c r="P82" s="25">
        <v>470</v>
      </c>
    </row>
    <row r="83" spans="3:16" s="17" customFormat="1" ht="12.75" x14ac:dyDescent="0.2">
      <c r="C83" s="18"/>
      <c r="D83" s="20" t="s">
        <v>159</v>
      </c>
      <c r="E83" s="21" t="s">
        <v>95</v>
      </c>
      <c r="F83" s="22" t="s">
        <v>160</v>
      </c>
      <c r="G83" s="23">
        <f t="shared" si="0"/>
        <v>0.18733333333333269</v>
      </c>
      <c r="H83" s="27"/>
      <c r="I83" s="27"/>
      <c r="J83" s="27"/>
      <c r="K83" s="27">
        <f>G62-G73</f>
        <v>0.18733333333333269</v>
      </c>
      <c r="L83" s="19"/>
      <c r="M83" s="24"/>
      <c r="P83" s="25">
        <v>480</v>
      </c>
    </row>
    <row r="84" spans="3:16" s="17" customFormat="1" ht="12.75" x14ac:dyDescent="0.2">
      <c r="C84" s="18"/>
      <c r="D84" s="20" t="s">
        <v>161</v>
      </c>
      <c r="E84" s="26" t="s">
        <v>162</v>
      </c>
      <c r="F84" s="22" t="s">
        <v>163</v>
      </c>
      <c r="G84" s="23">
        <f t="shared" si="0"/>
        <v>0</v>
      </c>
      <c r="H84" s="27"/>
      <c r="I84" s="27"/>
      <c r="J84" s="27"/>
      <c r="K84" s="27"/>
      <c r="L84" s="19"/>
      <c r="M84" s="24"/>
      <c r="P84" s="25">
        <v>490</v>
      </c>
    </row>
    <row r="85" spans="3:16" s="17" customFormat="1" ht="12.75" x14ac:dyDescent="0.2">
      <c r="C85" s="18"/>
      <c r="D85" s="20" t="s">
        <v>164</v>
      </c>
      <c r="E85" s="21" t="s">
        <v>101</v>
      </c>
      <c r="F85" s="22" t="s">
        <v>165</v>
      </c>
      <c r="G85" s="23">
        <f t="shared" si="0"/>
        <v>0.126</v>
      </c>
      <c r="H85" s="27"/>
      <c r="I85" s="27"/>
      <c r="J85" s="42">
        <f>(апрель!J85+май!J85+июнь!J85)/3</f>
        <v>0</v>
      </c>
      <c r="K85" s="42">
        <f>(апрель!K85+май!K85+июнь!K85)/3</f>
        <v>0.126</v>
      </c>
      <c r="L85" s="19"/>
      <c r="M85" s="24"/>
      <c r="P85" s="25"/>
    </row>
    <row r="86" spans="3:16" s="17" customFormat="1" ht="22.5" x14ac:dyDescent="0.2">
      <c r="C86" s="18"/>
      <c r="D86" s="20" t="s">
        <v>166</v>
      </c>
      <c r="E86" s="46" t="s">
        <v>104</v>
      </c>
      <c r="F86" s="22" t="s">
        <v>167</v>
      </c>
      <c r="G86" s="23">
        <f t="shared" si="0"/>
        <v>6.1333333333332685E-2</v>
      </c>
      <c r="H86" s="23">
        <f>H83-H85</f>
        <v>0</v>
      </c>
      <c r="I86" s="23">
        <f>I83-I85</f>
        <v>0</v>
      </c>
      <c r="J86" s="23">
        <f>J83-J85</f>
        <v>0</v>
      </c>
      <c r="K86" s="23">
        <f>K83-K85</f>
        <v>6.1333333333332685E-2</v>
      </c>
      <c r="L86" s="19"/>
      <c r="M86" s="24"/>
      <c r="P86" s="25"/>
    </row>
    <row r="87" spans="3:16" s="17" customFormat="1" ht="12.75" x14ac:dyDescent="0.2">
      <c r="C87" s="18"/>
      <c r="D87" s="20" t="s">
        <v>168</v>
      </c>
      <c r="E87" s="21" t="s">
        <v>107</v>
      </c>
      <c r="F87" s="22" t="s">
        <v>169</v>
      </c>
      <c r="G87" s="23">
        <f t="shared" si="0"/>
        <v>0</v>
      </c>
      <c r="H87" s="23">
        <f>(H52+H64+H69)-(H70+H80+H81+H82+H83)</f>
        <v>0</v>
      </c>
      <c r="I87" s="23">
        <f>(I52+I64+I69)-(I70+I80+I81+I82+I83)</f>
        <v>0</v>
      </c>
      <c r="J87" s="23">
        <f>(J52+J64+J69)-(J70+J80+J81+J82+J83)</f>
        <v>0</v>
      </c>
      <c r="K87" s="23">
        <f>(K52+K64+K69)-(K70+K80+K81+K82+K83)</f>
        <v>0</v>
      </c>
      <c r="L87" s="19"/>
      <c r="M87" s="24"/>
      <c r="P87" s="25">
        <v>500</v>
      </c>
    </row>
    <row r="88" spans="3:16" s="17" customFormat="1" ht="12.75" x14ac:dyDescent="0.2">
      <c r="C88" s="18"/>
      <c r="D88" s="87" t="s">
        <v>170</v>
      </c>
      <c r="E88" s="88"/>
      <c r="F88" s="88"/>
      <c r="G88" s="88"/>
      <c r="H88" s="88"/>
      <c r="I88" s="88"/>
      <c r="J88" s="88"/>
      <c r="K88" s="89"/>
      <c r="L88" s="19"/>
      <c r="M88" s="24"/>
      <c r="P88" s="36"/>
    </row>
    <row r="89" spans="3:16" s="17" customFormat="1" ht="12.75" x14ac:dyDescent="0.2">
      <c r="C89" s="18"/>
      <c r="D89" s="20" t="s">
        <v>171</v>
      </c>
      <c r="E89" s="21" t="s">
        <v>172</v>
      </c>
      <c r="F89" s="22" t="s">
        <v>173</v>
      </c>
      <c r="G89" s="23">
        <f t="shared" si="0"/>
        <v>3.6854666666666671</v>
      </c>
      <c r="H89" s="27"/>
      <c r="I89" s="27"/>
      <c r="J89" s="42">
        <f>J73</f>
        <v>0.88451199999999996</v>
      </c>
      <c r="K89" s="42">
        <f>K73</f>
        <v>2.8009546666666671</v>
      </c>
      <c r="L89" s="19"/>
      <c r="M89" s="24"/>
      <c r="P89" s="25">
        <v>600</v>
      </c>
    </row>
    <row r="90" spans="3:16" s="17" customFormat="1" ht="12.75" x14ac:dyDescent="0.2">
      <c r="C90" s="18"/>
      <c r="D90" s="20" t="s">
        <v>174</v>
      </c>
      <c r="E90" s="21" t="s">
        <v>175</v>
      </c>
      <c r="F90" s="22" t="s">
        <v>176</v>
      </c>
      <c r="G90" s="23">
        <f t="shared" si="0"/>
        <v>0</v>
      </c>
      <c r="H90" s="27"/>
      <c r="I90" s="27"/>
      <c r="J90" s="27"/>
      <c r="K90" s="27"/>
      <c r="L90" s="19"/>
      <c r="M90" s="24"/>
      <c r="P90" s="25">
        <v>610</v>
      </c>
    </row>
    <row r="91" spans="3:16" s="17" customFormat="1" ht="12.75" x14ac:dyDescent="0.2">
      <c r="C91" s="18"/>
      <c r="D91" s="20" t="s">
        <v>177</v>
      </c>
      <c r="E91" s="21" t="s">
        <v>178</v>
      </c>
      <c r="F91" s="22" t="s">
        <v>179</v>
      </c>
      <c r="G91" s="23">
        <f t="shared" si="0"/>
        <v>0</v>
      </c>
      <c r="H91" s="27"/>
      <c r="I91" s="27"/>
      <c r="J91" s="27"/>
      <c r="K91" s="27"/>
      <c r="L91" s="19"/>
      <c r="M91" s="24"/>
      <c r="P91" s="25">
        <v>620</v>
      </c>
    </row>
    <row r="92" spans="3:16" s="17" customFormat="1" ht="12.75" x14ac:dyDescent="0.2">
      <c r="C92" s="18"/>
      <c r="D92" s="87" t="s">
        <v>180</v>
      </c>
      <c r="E92" s="88"/>
      <c r="F92" s="88"/>
      <c r="G92" s="88"/>
      <c r="H92" s="88"/>
      <c r="I92" s="88"/>
      <c r="J92" s="88"/>
      <c r="K92" s="89"/>
      <c r="L92" s="19"/>
      <c r="M92" s="24"/>
      <c r="P92" s="36"/>
    </row>
    <row r="93" spans="3:16" s="17" customFormat="1" ht="12.75" x14ac:dyDescent="0.2">
      <c r="C93" s="18"/>
      <c r="D93" s="20" t="s">
        <v>181</v>
      </c>
      <c r="E93" s="21" t="s">
        <v>182</v>
      </c>
      <c r="F93" s="22" t="s">
        <v>183</v>
      </c>
      <c r="G93" s="23">
        <f t="shared" si="0"/>
        <v>0</v>
      </c>
      <c r="H93" s="23">
        <f>SUM(H94:H95)</f>
        <v>0</v>
      </c>
      <c r="I93" s="23">
        <f>SUM(I94:I95)</f>
        <v>0</v>
      </c>
      <c r="J93" s="23">
        <f>SUM(J94:J95)</f>
        <v>0</v>
      </c>
      <c r="K93" s="23">
        <f>SUM(K94:K95)</f>
        <v>0</v>
      </c>
      <c r="L93" s="19"/>
      <c r="M93" s="24"/>
      <c r="P93" s="25">
        <v>700</v>
      </c>
    </row>
    <row r="94" spans="3:16" ht="12.75" x14ac:dyDescent="0.2">
      <c r="C94" s="6"/>
      <c r="D94" s="55" t="s">
        <v>184</v>
      </c>
      <c r="E94" s="26" t="s">
        <v>185</v>
      </c>
      <c r="F94" s="22" t="s">
        <v>186</v>
      </c>
      <c r="G94" s="23">
        <f t="shared" si="0"/>
        <v>0</v>
      </c>
      <c r="H94" s="56"/>
      <c r="I94" s="56"/>
      <c r="J94" s="56"/>
      <c r="K94" s="56"/>
      <c r="L94" s="13"/>
      <c r="M94" s="24"/>
      <c r="P94" s="25">
        <v>710</v>
      </c>
    </row>
    <row r="95" spans="3:16" ht="12.75" x14ac:dyDescent="0.2">
      <c r="C95" s="6"/>
      <c r="D95" s="55" t="s">
        <v>187</v>
      </c>
      <c r="E95" s="26" t="s">
        <v>188</v>
      </c>
      <c r="F95" s="22" t="s">
        <v>189</v>
      </c>
      <c r="G95" s="23">
        <f t="shared" si="0"/>
        <v>0</v>
      </c>
      <c r="H95" s="57">
        <f>H98</f>
        <v>0</v>
      </c>
      <c r="I95" s="57">
        <f>I98</f>
        <v>0</v>
      </c>
      <c r="J95" s="57">
        <f>J98</f>
        <v>0</v>
      </c>
      <c r="K95" s="57">
        <f>K98</f>
        <v>0</v>
      </c>
      <c r="L95" s="13"/>
      <c r="M95" s="24"/>
      <c r="P95" s="25">
        <v>720</v>
      </c>
    </row>
    <row r="96" spans="3:16" ht="12.75" x14ac:dyDescent="0.2">
      <c r="C96" s="6"/>
      <c r="D96" s="55" t="s">
        <v>190</v>
      </c>
      <c r="E96" s="48" t="s">
        <v>191</v>
      </c>
      <c r="F96" s="22" t="s">
        <v>192</v>
      </c>
      <c r="G96" s="23">
        <f t="shared" si="0"/>
        <v>0</v>
      </c>
      <c r="H96" s="56"/>
      <c r="I96" s="56"/>
      <c r="J96" s="56"/>
      <c r="K96" s="56"/>
      <c r="L96" s="13"/>
      <c r="M96" s="24"/>
      <c r="P96" s="25">
        <v>730</v>
      </c>
    </row>
    <row r="97" spans="3:16" ht="12.75" x14ac:dyDescent="0.2">
      <c r="C97" s="6"/>
      <c r="D97" s="55" t="s">
        <v>193</v>
      </c>
      <c r="E97" s="49" t="s">
        <v>194</v>
      </c>
      <c r="F97" s="22" t="s">
        <v>195</v>
      </c>
      <c r="G97" s="23">
        <f t="shared" si="0"/>
        <v>0</v>
      </c>
      <c r="H97" s="56"/>
      <c r="I97" s="56"/>
      <c r="J97" s="56"/>
      <c r="K97" s="56"/>
      <c r="L97" s="13"/>
      <c r="M97" s="24"/>
      <c r="P97" s="25"/>
    </row>
    <row r="98" spans="3:16" ht="12.75" x14ac:dyDescent="0.2">
      <c r="C98" s="6"/>
      <c r="D98" s="55" t="s">
        <v>196</v>
      </c>
      <c r="E98" s="48" t="s">
        <v>197</v>
      </c>
      <c r="F98" s="22" t="s">
        <v>198</v>
      </c>
      <c r="G98" s="23">
        <f t="shared" si="0"/>
        <v>0</v>
      </c>
      <c r="H98" s="56"/>
      <c r="I98" s="56"/>
      <c r="J98" s="56"/>
      <c r="K98" s="56"/>
      <c r="L98" s="13"/>
      <c r="M98" s="24"/>
      <c r="P98" s="25">
        <v>740</v>
      </c>
    </row>
    <row r="99" spans="3:16" ht="12.75" x14ac:dyDescent="0.2">
      <c r="C99" s="6"/>
      <c r="D99" s="55" t="s">
        <v>199</v>
      </c>
      <c r="E99" s="21" t="s">
        <v>200</v>
      </c>
      <c r="F99" s="22" t="s">
        <v>201</v>
      </c>
      <c r="G99" s="23">
        <f t="shared" si="0"/>
        <v>0</v>
      </c>
      <c r="H99" s="57">
        <f>H100+H116</f>
        <v>0</v>
      </c>
      <c r="I99" s="57">
        <f>I100+I116</f>
        <v>0</v>
      </c>
      <c r="J99" s="57">
        <f>J100+J116</f>
        <v>0</v>
      </c>
      <c r="K99" s="57">
        <f>K100+K116</f>
        <v>0</v>
      </c>
      <c r="L99" s="13"/>
      <c r="M99" s="24"/>
      <c r="P99" s="25">
        <v>750</v>
      </c>
    </row>
    <row r="100" spans="3:16" ht="12.75" x14ac:dyDescent="0.2">
      <c r="C100" s="6"/>
      <c r="D100" s="55" t="s">
        <v>202</v>
      </c>
      <c r="E100" s="26" t="s">
        <v>203</v>
      </c>
      <c r="F100" s="22" t="s">
        <v>204</v>
      </c>
      <c r="G100" s="23">
        <f t="shared" si="0"/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57">
        <f>K101+K102</f>
        <v>0</v>
      </c>
      <c r="L100" s="13"/>
      <c r="M100" s="24"/>
      <c r="P100" s="25">
        <v>760</v>
      </c>
    </row>
    <row r="101" spans="3:16" ht="12.75" x14ac:dyDescent="0.2">
      <c r="C101" s="6"/>
      <c r="D101" s="55" t="s">
        <v>205</v>
      </c>
      <c r="E101" s="48" t="s">
        <v>206</v>
      </c>
      <c r="F101" s="22" t="s">
        <v>207</v>
      </c>
      <c r="G101" s="23">
        <f t="shared" si="0"/>
        <v>0</v>
      </c>
      <c r="H101" s="56"/>
      <c r="I101" s="56"/>
      <c r="J101" s="56"/>
      <c r="K101" s="56"/>
      <c r="L101" s="13"/>
      <c r="M101" s="24"/>
      <c r="P101" s="25"/>
    </row>
    <row r="102" spans="3:16" ht="12.75" x14ac:dyDescent="0.2">
      <c r="C102" s="6"/>
      <c r="D102" s="55" t="s">
        <v>208</v>
      </c>
      <c r="E102" s="48" t="s">
        <v>209</v>
      </c>
      <c r="F102" s="22" t="s">
        <v>210</v>
      </c>
      <c r="G102" s="23">
        <f t="shared" si="0"/>
        <v>0</v>
      </c>
      <c r="H102" s="57">
        <f>H103+H106+H109+H112+H113+H114+H115</f>
        <v>0</v>
      </c>
      <c r="I102" s="57">
        <f>I103+I106+I109+I112+I113+I114+I115</f>
        <v>0</v>
      </c>
      <c r="J102" s="57">
        <f>J103+J106+J109+J112+J113+J114+J115</f>
        <v>0</v>
      </c>
      <c r="K102" s="57">
        <f>K103+K106+K109+K112+K113+K114+K115</f>
        <v>0</v>
      </c>
      <c r="L102" s="13"/>
      <c r="M102" s="24"/>
      <c r="P102" s="25"/>
    </row>
    <row r="103" spans="3:16" ht="33.75" x14ac:dyDescent="0.2">
      <c r="C103" s="6"/>
      <c r="D103" s="55" t="s">
        <v>211</v>
      </c>
      <c r="E103" s="49" t="s">
        <v>212</v>
      </c>
      <c r="F103" s="22" t="s">
        <v>213</v>
      </c>
      <c r="G103" s="23">
        <f t="shared" si="0"/>
        <v>0</v>
      </c>
      <c r="H103" s="58">
        <f>H104+H105</f>
        <v>0</v>
      </c>
      <c r="I103" s="58">
        <f>I104+I105</f>
        <v>0</v>
      </c>
      <c r="J103" s="58">
        <f>J104+J105</f>
        <v>0</v>
      </c>
      <c r="K103" s="58">
        <f>K104+K105</f>
        <v>0</v>
      </c>
      <c r="L103" s="13"/>
      <c r="M103" s="24"/>
      <c r="P103" s="25"/>
    </row>
    <row r="104" spans="3:16" ht="12.75" x14ac:dyDescent="0.2">
      <c r="C104" s="6"/>
      <c r="D104" s="55" t="s">
        <v>214</v>
      </c>
      <c r="E104" s="59" t="s">
        <v>215</v>
      </c>
      <c r="F104" s="22" t="s">
        <v>216</v>
      </c>
      <c r="G104" s="23">
        <f t="shared" si="0"/>
        <v>0</v>
      </c>
      <c r="H104" s="56"/>
      <c r="I104" s="56"/>
      <c r="J104" s="56"/>
      <c r="K104" s="56"/>
      <c r="L104" s="13"/>
      <c r="M104" s="24"/>
      <c r="P104" s="25"/>
    </row>
    <row r="105" spans="3:16" ht="12.75" x14ac:dyDescent="0.2">
      <c r="C105" s="6"/>
      <c r="D105" s="55" t="s">
        <v>217</v>
      </c>
      <c r="E105" s="59" t="s">
        <v>218</v>
      </c>
      <c r="F105" s="22" t="s">
        <v>219</v>
      </c>
      <c r="G105" s="23">
        <f t="shared" si="0"/>
        <v>0</v>
      </c>
      <c r="H105" s="56"/>
      <c r="I105" s="56"/>
      <c r="J105" s="56"/>
      <c r="K105" s="56"/>
      <c r="L105" s="13"/>
      <c r="M105" s="24"/>
      <c r="P105" s="25"/>
    </row>
    <row r="106" spans="3:16" ht="33.75" x14ac:dyDescent="0.2">
      <c r="C106" s="6"/>
      <c r="D106" s="55" t="s">
        <v>220</v>
      </c>
      <c r="E106" s="49" t="s">
        <v>221</v>
      </c>
      <c r="F106" s="22" t="s">
        <v>222</v>
      </c>
      <c r="G106" s="23">
        <f t="shared" si="0"/>
        <v>0</v>
      </c>
      <c r="H106" s="58">
        <f>H107+H108</f>
        <v>0</v>
      </c>
      <c r="I106" s="58">
        <f>I107+I108</f>
        <v>0</v>
      </c>
      <c r="J106" s="58">
        <f>J107+J108</f>
        <v>0</v>
      </c>
      <c r="K106" s="58">
        <f>K107+K108</f>
        <v>0</v>
      </c>
      <c r="L106" s="13"/>
      <c r="M106" s="24"/>
      <c r="P106" s="25"/>
    </row>
    <row r="107" spans="3:16" ht="12.75" x14ac:dyDescent="0.2">
      <c r="C107" s="6"/>
      <c r="D107" s="55" t="s">
        <v>223</v>
      </c>
      <c r="E107" s="59" t="s">
        <v>215</v>
      </c>
      <c r="F107" s="22" t="s">
        <v>224</v>
      </c>
      <c r="G107" s="23">
        <f t="shared" si="0"/>
        <v>0</v>
      </c>
      <c r="H107" s="56"/>
      <c r="I107" s="56"/>
      <c r="J107" s="56"/>
      <c r="K107" s="56"/>
      <c r="L107" s="13"/>
      <c r="M107" s="24"/>
      <c r="P107" s="25"/>
    </row>
    <row r="108" spans="3:16" ht="12.75" x14ac:dyDescent="0.2">
      <c r="C108" s="6"/>
      <c r="D108" s="55" t="s">
        <v>225</v>
      </c>
      <c r="E108" s="59" t="s">
        <v>218</v>
      </c>
      <c r="F108" s="22" t="s">
        <v>226</v>
      </c>
      <c r="G108" s="23">
        <f t="shared" si="0"/>
        <v>0</v>
      </c>
      <c r="H108" s="56"/>
      <c r="I108" s="56"/>
      <c r="J108" s="56"/>
      <c r="K108" s="56"/>
      <c r="L108" s="13"/>
      <c r="M108" s="24"/>
      <c r="P108" s="25"/>
    </row>
    <row r="109" spans="3:16" ht="22.5" x14ac:dyDescent="0.2">
      <c r="C109" s="6"/>
      <c r="D109" s="55" t="s">
        <v>227</v>
      </c>
      <c r="E109" s="49" t="s">
        <v>228</v>
      </c>
      <c r="F109" s="22" t="s">
        <v>229</v>
      </c>
      <c r="G109" s="23">
        <f t="shared" si="0"/>
        <v>0</v>
      </c>
      <c r="H109" s="58">
        <f>H110+H111</f>
        <v>0</v>
      </c>
      <c r="I109" s="58">
        <f>I110+I111</f>
        <v>0</v>
      </c>
      <c r="J109" s="58">
        <f>J110+J111</f>
        <v>0</v>
      </c>
      <c r="K109" s="58">
        <f>K110+K111</f>
        <v>0</v>
      </c>
      <c r="L109" s="13"/>
      <c r="M109" s="24"/>
      <c r="P109" s="25"/>
    </row>
    <row r="110" spans="3:16" ht="12.75" x14ac:dyDescent="0.2">
      <c r="C110" s="6"/>
      <c r="D110" s="55" t="s">
        <v>230</v>
      </c>
      <c r="E110" s="59" t="s">
        <v>215</v>
      </c>
      <c r="F110" s="22" t="s">
        <v>231</v>
      </c>
      <c r="G110" s="23">
        <f t="shared" si="0"/>
        <v>0</v>
      </c>
      <c r="H110" s="56"/>
      <c r="I110" s="56"/>
      <c r="J110" s="56"/>
      <c r="K110" s="56"/>
      <c r="L110" s="13"/>
      <c r="M110" s="24"/>
      <c r="P110" s="25"/>
    </row>
    <row r="111" spans="3:16" ht="12.75" x14ac:dyDescent="0.2">
      <c r="C111" s="6"/>
      <c r="D111" s="55" t="s">
        <v>232</v>
      </c>
      <c r="E111" s="59" t="s">
        <v>218</v>
      </c>
      <c r="F111" s="22" t="s">
        <v>233</v>
      </c>
      <c r="G111" s="23">
        <f t="shared" si="0"/>
        <v>0</v>
      </c>
      <c r="H111" s="56"/>
      <c r="I111" s="56"/>
      <c r="J111" s="56"/>
      <c r="K111" s="56"/>
      <c r="L111" s="13"/>
      <c r="M111" s="24"/>
      <c r="P111" s="25"/>
    </row>
    <row r="112" spans="3:16" ht="12.75" x14ac:dyDescent="0.2">
      <c r="C112" s="6"/>
      <c r="D112" s="55" t="s">
        <v>234</v>
      </c>
      <c r="E112" s="49" t="s">
        <v>235</v>
      </c>
      <c r="F112" s="22" t="s">
        <v>236</v>
      </c>
      <c r="G112" s="23">
        <f t="shared" si="0"/>
        <v>0</v>
      </c>
      <c r="H112" s="56"/>
      <c r="I112" s="56"/>
      <c r="J112" s="56"/>
      <c r="K112" s="56"/>
      <c r="L112" s="13"/>
      <c r="M112" s="24"/>
      <c r="P112" s="25"/>
    </row>
    <row r="113" spans="3:16" ht="12.75" x14ac:dyDescent="0.2">
      <c r="C113" s="6"/>
      <c r="D113" s="55" t="s">
        <v>237</v>
      </c>
      <c r="E113" s="49" t="s">
        <v>238</v>
      </c>
      <c r="F113" s="22" t="s">
        <v>239</v>
      </c>
      <c r="G113" s="23">
        <f t="shared" si="0"/>
        <v>0</v>
      </c>
      <c r="H113" s="56"/>
      <c r="I113" s="56"/>
      <c r="J113" s="56"/>
      <c r="K113" s="56"/>
      <c r="L113" s="13"/>
      <c r="M113" s="24"/>
      <c r="P113" s="25"/>
    </row>
    <row r="114" spans="3:16" ht="33.75" x14ac:dyDescent="0.2">
      <c r="C114" s="6"/>
      <c r="D114" s="55" t="s">
        <v>240</v>
      </c>
      <c r="E114" s="49" t="s">
        <v>241</v>
      </c>
      <c r="F114" s="22" t="s">
        <v>242</v>
      </c>
      <c r="G114" s="23">
        <f t="shared" si="0"/>
        <v>0</v>
      </c>
      <c r="H114" s="56"/>
      <c r="I114" s="56"/>
      <c r="J114" s="56"/>
      <c r="K114" s="56"/>
      <c r="L114" s="13"/>
      <c r="M114" s="24"/>
      <c r="P114" s="25"/>
    </row>
    <row r="115" spans="3:16" ht="22.5" x14ac:dyDescent="0.2">
      <c r="C115" s="6"/>
      <c r="D115" s="55" t="s">
        <v>243</v>
      </c>
      <c r="E115" s="49" t="s">
        <v>244</v>
      </c>
      <c r="F115" s="22" t="s">
        <v>245</v>
      </c>
      <c r="G115" s="23">
        <f t="shared" si="0"/>
        <v>0</v>
      </c>
      <c r="H115" s="56"/>
      <c r="I115" s="56"/>
      <c r="J115" s="56"/>
      <c r="K115" s="56"/>
      <c r="L115" s="13"/>
      <c r="M115" s="24"/>
      <c r="P115" s="25"/>
    </row>
    <row r="116" spans="3:16" ht="12.75" x14ac:dyDescent="0.2">
      <c r="C116" s="6"/>
      <c r="D116" s="55" t="s">
        <v>246</v>
      </c>
      <c r="E116" s="26" t="s">
        <v>247</v>
      </c>
      <c r="F116" s="22" t="s">
        <v>248</v>
      </c>
      <c r="G116" s="23">
        <f t="shared" si="0"/>
        <v>0</v>
      </c>
      <c r="H116" s="57">
        <f>H119</f>
        <v>0</v>
      </c>
      <c r="I116" s="57">
        <f>I119</f>
        <v>0</v>
      </c>
      <c r="J116" s="57">
        <f>J119</f>
        <v>0</v>
      </c>
      <c r="K116" s="57">
        <f>K119</f>
        <v>0</v>
      </c>
      <c r="L116" s="13"/>
      <c r="M116" s="24"/>
      <c r="P116" s="25">
        <v>770</v>
      </c>
    </row>
    <row r="117" spans="3:16" ht="12.75" x14ac:dyDescent="0.2">
      <c r="C117" s="6"/>
      <c r="D117" s="55" t="s">
        <v>249</v>
      </c>
      <c r="E117" s="48" t="s">
        <v>191</v>
      </c>
      <c r="F117" s="22" t="s">
        <v>250</v>
      </c>
      <c r="G117" s="23">
        <f t="shared" si="0"/>
        <v>0</v>
      </c>
      <c r="H117" s="56"/>
      <c r="I117" s="56"/>
      <c r="J117" s="56"/>
      <c r="K117" s="56"/>
      <c r="L117" s="13"/>
      <c r="M117" s="24"/>
      <c r="P117" s="25">
        <v>780</v>
      </c>
    </row>
    <row r="118" spans="3:16" ht="12.75" x14ac:dyDescent="0.2">
      <c r="C118" s="6"/>
      <c r="D118" s="55" t="s">
        <v>251</v>
      </c>
      <c r="E118" s="49" t="s">
        <v>252</v>
      </c>
      <c r="F118" s="22" t="s">
        <v>253</v>
      </c>
      <c r="G118" s="23">
        <f t="shared" si="0"/>
        <v>0</v>
      </c>
      <c r="H118" s="56"/>
      <c r="I118" s="56"/>
      <c r="J118" s="56"/>
      <c r="K118" s="56"/>
      <c r="L118" s="13"/>
      <c r="M118" s="24"/>
      <c r="P118" s="25"/>
    </row>
    <row r="119" spans="3:16" ht="12.75" x14ac:dyDescent="0.2">
      <c r="C119" s="6"/>
      <c r="D119" s="55" t="s">
        <v>254</v>
      </c>
      <c r="E119" s="48" t="s">
        <v>197</v>
      </c>
      <c r="F119" s="22" t="s">
        <v>255</v>
      </c>
      <c r="G119" s="23">
        <f t="shared" si="0"/>
        <v>0</v>
      </c>
      <c r="H119" s="56"/>
      <c r="I119" s="56"/>
      <c r="J119" s="56"/>
      <c r="K119" s="56"/>
      <c r="L119" s="13"/>
      <c r="M119" s="24"/>
      <c r="P119" s="25">
        <v>790</v>
      </c>
    </row>
    <row r="120" spans="3:16" ht="12.75" x14ac:dyDescent="0.2">
      <c r="C120" s="6"/>
      <c r="D120" s="55" t="s">
        <v>256</v>
      </c>
      <c r="E120" s="46" t="s">
        <v>257</v>
      </c>
      <c r="F120" s="22" t="s">
        <v>258</v>
      </c>
      <c r="G120" s="23">
        <f t="shared" si="0"/>
        <v>5120.34</v>
      </c>
      <c r="H120" s="57">
        <f>SUM(H121:H122)</f>
        <v>0</v>
      </c>
      <c r="I120" s="57">
        <f>SUM(I121:I122)</f>
        <v>0</v>
      </c>
      <c r="J120" s="57">
        <f>SUM(J121:J122)</f>
        <v>568.68299999999999</v>
      </c>
      <c r="K120" s="57">
        <f>SUM(K121:K122)</f>
        <v>4551.6570000000002</v>
      </c>
      <c r="L120" s="13"/>
      <c r="M120" s="24"/>
      <c r="P120" s="25"/>
    </row>
    <row r="121" spans="3:16" ht="12.75" x14ac:dyDescent="0.2">
      <c r="C121" s="6"/>
      <c r="D121" s="55" t="s">
        <v>259</v>
      </c>
      <c r="E121" s="26" t="s">
        <v>185</v>
      </c>
      <c r="F121" s="22" t="s">
        <v>260</v>
      </c>
      <c r="G121" s="23">
        <f t="shared" si="0"/>
        <v>5120.34</v>
      </c>
      <c r="H121" s="56"/>
      <c r="I121" s="56"/>
      <c r="J121" s="56">
        <f>J36</f>
        <v>568.68299999999999</v>
      </c>
      <c r="K121" s="56">
        <f>K36</f>
        <v>4551.6570000000002</v>
      </c>
      <c r="L121" s="13"/>
      <c r="M121" s="24"/>
      <c r="P121" s="25"/>
    </row>
    <row r="122" spans="3:16" ht="12.75" x14ac:dyDescent="0.2">
      <c r="C122" s="6"/>
      <c r="D122" s="55" t="s">
        <v>261</v>
      </c>
      <c r="E122" s="26" t="s">
        <v>188</v>
      </c>
      <c r="F122" s="22" t="s">
        <v>262</v>
      </c>
      <c r="G122" s="23">
        <f t="shared" si="0"/>
        <v>0</v>
      </c>
      <c r="H122" s="57">
        <f>H124</f>
        <v>0</v>
      </c>
      <c r="I122" s="57">
        <f>I124</f>
        <v>0</v>
      </c>
      <c r="J122" s="57">
        <f>J124</f>
        <v>0</v>
      </c>
      <c r="K122" s="57">
        <f>K124</f>
        <v>0</v>
      </c>
      <c r="L122" s="13"/>
      <c r="M122" s="24"/>
      <c r="P122" s="25"/>
    </row>
    <row r="123" spans="3:16" ht="12.75" x14ac:dyDescent="0.2">
      <c r="C123" s="6"/>
      <c r="D123" s="55" t="s">
        <v>263</v>
      </c>
      <c r="E123" s="48" t="s">
        <v>264</v>
      </c>
      <c r="F123" s="22" t="s">
        <v>265</v>
      </c>
      <c r="G123" s="23">
        <f t="shared" si="0"/>
        <v>0</v>
      </c>
      <c r="H123" s="56"/>
      <c r="I123" s="56"/>
      <c r="J123" s="56"/>
      <c r="K123" s="56"/>
      <c r="L123" s="13"/>
      <c r="M123" s="24"/>
      <c r="P123" s="25"/>
    </row>
    <row r="124" spans="3:16" ht="12.75" x14ac:dyDescent="0.2">
      <c r="C124" s="6"/>
      <c r="D124" s="55" t="s">
        <v>266</v>
      </c>
      <c r="E124" s="48" t="s">
        <v>197</v>
      </c>
      <c r="F124" s="22" t="s">
        <v>267</v>
      </c>
      <c r="G124" s="23">
        <f t="shared" si="0"/>
        <v>0</v>
      </c>
      <c r="H124" s="56"/>
      <c r="I124" s="56"/>
      <c r="J124" s="56"/>
      <c r="K124" s="56"/>
      <c r="L124" s="13"/>
      <c r="M124" s="24"/>
      <c r="P124" s="25"/>
    </row>
    <row r="125" spans="3:16" ht="12.75" x14ac:dyDescent="0.2">
      <c r="C125" s="6"/>
      <c r="D125" s="87" t="s">
        <v>268</v>
      </c>
      <c r="E125" s="88"/>
      <c r="F125" s="88"/>
      <c r="G125" s="88"/>
      <c r="H125" s="88"/>
      <c r="I125" s="88"/>
      <c r="J125" s="88"/>
      <c r="K125" s="89"/>
      <c r="L125" s="13"/>
      <c r="M125" s="24"/>
      <c r="P125" s="60"/>
    </row>
    <row r="126" spans="3:16" ht="22.5" x14ac:dyDescent="0.2">
      <c r="C126" s="6"/>
      <c r="D126" s="55" t="s">
        <v>269</v>
      </c>
      <c r="E126" s="21" t="s">
        <v>270</v>
      </c>
      <c r="F126" s="22" t="s">
        <v>271</v>
      </c>
      <c r="G126" s="23">
        <f t="shared" si="0"/>
        <v>0</v>
      </c>
      <c r="H126" s="57">
        <f>SUM( H127:H128)</f>
        <v>0</v>
      </c>
      <c r="I126" s="57">
        <f>SUM( I127:I128)</f>
        <v>0</v>
      </c>
      <c r="J126" s="57">
        <f>SUM( J127:J128)</f>
        <v>0</v>
      </c>
      <c r="K126" s="57">
        <f>SUM( K127:K128)</f>
        <v>0</v>
      </c>
      <c r="L126" s="13"/>
      <c r="M126" s="24"/>
      <c r="P126" s="25">
        <v>800</v>
      </c>
    </row>
    <row r="127" spans="3:16" ht="12.75" x14ac:dyDescent="0.2">
      <c r="C127" s="6"/>
      <c r="D127" s="55" t="s">
        <v>272</v>
      </c>
      <c r="E127" s="26" t="s">
        <v>185</v>
      </c>
      <c r="F127" s="22" t="s">
        <v>273</v>
      </c>
      <c r="G127" s="23">
        <f t="shared" si="0"/>
        <v>0</v>
      </c>
      <c r="H127" s="56"/>
      <c r="I127" s="56"/>
      <c r="J127" s="56"/>
      <c r="K127" s="56"/>
      <c r="L127" s="13"/>
      <c r="M127" s="24"/>
      <c r="P127" s="25">
        <v>810</v>
      </c>
    </row>
    <row r="128" spans="3:16" ht="12.75" x14ac:dyDescent="0.2">
      <c r="C128" s="6"/>
      <c r="D128" s="55" t="s">
        <v>274</v>
      </c>
      <c r="E128" s="26" t="s">
        <v>188</v>
      </c>
      <c r="F128" s="22" t="s">
        <v>275</v>
      </c>
      <c r="G128" s="23">
        <f t="shared" si="0"/>
        <v>0</v>
      </c>
      <c r="H128" s="57">
        <f>H129+H131</f>
        <v>0</v>
      </c>
      <c r="I128" s="57">
        <f>I129+I131</f>
        <v>0</v>
      </c>
      <c r="J128" s="57">
        <f>J129+J131</f>
        <v>0</v>
      </c>
      <c r="K128" s="57">
        <f>K129+K131</f>
        <v>0</v>
      </c>
      <c r="L128" s="13"/>
      <c r="M128" s="24"/>
      <c r="P128" s="25">
        <v>820</v>
      </c>
    </row>
    <row r="129" spans="3:16" ht="12.75" x14ac:dyDescent="0.2">
      <c r="C129" s="6"/>
      <c r="D129" s="55" t="s">
        <v>276</v>
      </c>
      <c r="E129" s="48" t="s">
        <v>277</v>
      </c>
      <c r="F129" s="22" t="s">
        <v>278</v>
      </c>
      <c r="G129" s="23">
        <f t="shared" si="0"/>
        <v>0</v>
      </c>
      <c r="H129" s="56"/>
      <c r="I129" s="56"/>
      <c r="J129" s="56"/>
      <c r="K129" s="56"/>
      <c r="L129" s="13"/>
      <c r="M129" s="24"/>
      <c r="P129" s="25">
        <v>830</v>
      </c>
    </row>
    <row r="130" spans="3:16" ht="12.75" x14ac:dyDescent="0.2">
      <c r="C130" s="6"/>
      <c r="D130" s="55" t="s">
        <v>279</v>
      </c>
      <c r="E130" s="49" t="s">
        <v>280</v>
      </c>
      <c r="F130" s="22" t="s">
        <v>281</v>
      </c>
      <c r="G130" s="23">
        <f t="shared" si="0"/>
        <v>0</v>
      </c>
      <c r="H130" s="56"/>
      <c r="I130" s="56"/>
      <c r="J130" s="56"/>
      <c r="K130" s="56"/>
      <c r="L130" s="13"/>
      <c r="M130" s="24"/>
      <c r="P130" s="60"/>
    </row>
    <row r="131" spans="3:16" ht="12.75" x14ac:dyDescent="0.2">
      <c r="C131" s="6"/>
      <c r="D131" s="55" t="s">
        <v>282</v>
      </c>
      <c r="E131" s="48" t="s">
        <v>283</v>
      </c>
      <c r="F131" s="22" t="s">
        <v>284</v>
      </c>
      <c r="G131" s="23">
        <f t="shared" si="0"/>
        <v>0</v>
      </c>
      <c r="H131" s="56"/>
      <c r="I131" s="56"/>
      <c r="J131" s="56"/>
      <c r="K131" s="56"/>
      <c r="L131" s="13"/>
      <c r="M131" s="24"/>
      <c r="P131" s="25">
        <v>840</v>
      </c>
    </row>
    <row r="132" spans="3:16" ht="12.75" x14ac:dyDescent="0.2">
      <c r="C132" s="6"/>
      <c r="D132" s="55" t="s">
        <v>30</v>
      </c>
      <c r="E132" s="21" t="s">
        <v>285</v>
      </c>
      <c r="F132" s="22" t="s">
        <v>286</v>
      </c>
      <c r="G132" s="23">
        <f t="shared" si="0"/>
        <v>0</v>
      </c>
      <c r="H132" s="58">
        <f>SUM( H133+H138)</f>
        <v>0</v>
      </c>
      <c r="I132" s="58">
        <f>SUM( I133+I138)</f>
        <v>0</v>
      </c>
      <c r="J132" s="58">
        <f>SUM( J133+J138)</f>
        <v>0</v>
      </c>
      <c r="K132" s="58">
        <f>SUM( K133+K138)</f>
        <v>0</v>
      </c>
      <c r="L132" s="61"/>
      <c r="M132" s="24"/>
      <c r="P132" s="25">
        <v>850</v>
      </c>
    </row>
    <row r="133" spans="3:16" ht="12.75" x14ac:dyDescent="0.2">
      <c r="C133" s="6"/>
      <c r="D133" s="55" t="s">
        <v>287</v>
      </c>
      <c r="E133" s="26" t="s">
        <v>185</v>
      </c>
      <c r="F133" s="22" t="s">
        <v>288</v>
      </c>
      <c r="G133" s="23">
        <f t="shared" ref="G133:G146" si="1">SUM(H133:K133)</f>
        <v>0</v>
      </c>
      <c r="H133" s="58">
        <f>SUM( H134:H135)</f>
        <v>0</v>
      </c>
      <c r="I133" s="58">
        <f>SUM( I134:I135)</f>
        <v>0</v>
      </c>
      <c r="J133" s="58">
        <f>SUM( J134:J135)</f>
        <v>0</v>
      </c>
      <c r="K133" s="58">
        <f>SUM( K134:K135)</f>
        <v>0</v>
      </c>
      <c r="L133" s="61"/>
      <c r="M133" s="24"/>
      <c r="P133" s="25">
        <v>860</v>
      </c>
    </row>
    <row r="134" spans="3:16" ht="12.75" x14ac:dyDescent="0.2">
      <c r="C134" s="6"/>
      <c r="D134" s="55" t="s">
        <v>289</v>
      </c>
      <c r="E134" s="48" t="s">
        <v>206</v>
      </c>
      <c r="F134" s="22" t="s">
        <v>290</v>
      </c>
      <c r="G134" s="23">
        <f t="shared" si="1"/>
        <v>0</v>
      </c>
      <c r="H134" s="62"/>
      <c r="I134" s="62"/>
      <c r="J134" s="62"/>
      <c r="K134" s="62"/>
      <c r="L134" s="61"/>
      <c r="M134" s="24"/>
      <c r="P134" s="25"/>
    </row>
    <row r="135" spans="3:16" ht="12.75" x14ac:dyDescent="0.2">
      <c r="C135" s="6"/>
      <c r="D135" s="55" t="s">
        <v>291</v>
      </c>
      <c r="E135" s="48" t="s">
        <v>209</v>
      </c>
      <c r="F135" s="22" t="s">
        <v>292</v>
      </c>
      <c r="G135" s="23">
        <f t="shared" si="1"/>
        <v>0</v>
      </c>
      <c r="H135" s="58">
        <f>H136+H137</f>
        <v>0</v>
      </c>
      <c r="I135" s="58">
        <f>I136+I137</f>
        <v>0</v>
      </c>
      <c r="J135" s="58">
        <f>J136+J137</f>
        <v>0</v>
      </c>
      <c r="K135" s="58">
        <f>K136+K137</f>
        <v>0</v>
      </c>
      <c r="L135" s="61"/>
      <c r="M135" s="24"/>
      <c r="P135" s="25"/>
    </row>
    <row r="136" spans="3:16" ht="12.75" x14ac:dyDescent="0.2">
      <c r="C136" s="6"/>
      <c r="D136" s="55" t="s">
        <v>293</v>
      </c>
      <c r="E136" s="49" t="s">
        <v>215</v>
      </c>
      <c r="F136" s="22" t="s">
        <v>294</v>
      </c>
      <c r="G136" s="23">
        <f t="shared" si="1"/>
        <v>0</v>
      </c>
      <c r="H136" s="62"/>
      <c r="I136" s="62"/>
      <c r="J136" s="62"/>
      <c r="K136" s="62"/>
      <c r="L136" s="61"/>
      <c r="M136" s="24"/>
      <c r="P136" s="25"/>
    </row>
    <row r="137" spans="3:16" ht="12.75" x14ac:dyDescent="0.2">
      <c r="C137" s="6"/>
      <c r="D137" s="55" t="s">
        <v>295</v>
      </c>
      <c r="E137" s="49" t="s">
        <v>296</v>
      </c>
      <c r="F137" s="22" t="s">
        <v>297</v>
      </c>
      <c r="G137" s="23">
        <f t="shared" si="1"/>
        <v>0</v>
      </c>
      <c r="H137" s="62"/>
      <c r="I137" s="62"/>
      <c r="J137" s="62"/>
      <c r="K137" s="62"/>
      <c r="L137" s="61"/>
      <c r="M137" s="24"/>
      <c r="P137" s="25"/>
    </row>
    <row r="138" spans="3:16" ht="12.75" x14ac:dyDescent="0.2">
      <c r="C138" s="6"/>
      <c r="D138" s="55" t="s">
        <v>298</v>
      </c>
      <c r="E138" s="26" t="s">
        <v>247</v>
      </c>
      <c r="F138" s="22" t="s">
        <v>299</v>
      </c>
      <c r="G138" s="23">
        <f t="shared" si="1"/>
        <v>0</v>
      </c>
      <c r="H138" s="58">
        <f>H139+H141</f>
        <v>0</v>
      </c>
      <c r="I138" s="58">
        <f>I139+I141</f>
        <v>0</v>
      </c>
      <c r="J138" s="58">
        <f>J139+J141</f>
        <v>0</v>
      </c>
      <c r="K138" s="58">
        <f>K139+K141</f>
        <v>0</v>
      </c>
      <c r="L138" s="61"/>
      <c r="M138" s="24"/>
      <c r="P138" s="25">
        <v>870</v>
      </c>
    </row>
    <row r="139" spans="3:16" ht="12.75" x14ac:dyDescent="0.2">
      <c r="C139" s="6"/>
      <c r="D139" s="55" t="s">
        <v>300</v>
      </c>
      <c r="E139" s="48" t="s">
        <v>277</v>
      </c>
      <c r="F139" s="22" t="s">
        <v>301</v>
      </c>
      <c r="G139" s="23">
        <f t="shared" si="1"/>
        <v>0</v>
      </c>
      <c r="H139" s="56"/>
      <c r="I139" s="56"/>
      <c r="J139" s="56"/>
      <c r="K139" s="56"/>
      <c r="L139" s="61"/>
      <c r="M139" s="24"/>
      <c r="P139" s="25">
        <v>880</v>
      </c>
    </row>
    <row r="140" spans="3:16" ht="12.75" x14ac:dyDescent="0.2">
      <c r="C140" s="6"/>
      <c r="D140" s="55" t="s">
        <v>302</v>
      </c>
      <c r="E140" s="49" t="s">
        <v>280</v>
      </c>
      <c r="F140" s="22" t="s">
        <v>303</v>
      </c>
      <c r="G140" s="23">
        <f t="shared" si="1"/>
        <v>0</v>
      </c>
      <c r="H140" s="56"/>
      <c r="I140" s="56"/>
      <c r="J140" s="56"/>
      <c r="K140" s="56"/>
      <c r="L140" s="61"/>
      <c r="M140" s="24"/>
      <c r="P140" s="25"/>
    </row>
    <row r="141" spans="3:16" ht="12.75" x14ac:dyDescent="0.2">
      <c r="C141" s="6"/>
      <c r="D141" s="55" t="s">
        <v>304</v>
      </c>
      <c r="E141" s="48" t="s">
        <v>283</v>
      </c>
      <c r="F141" s="22" t="s">
        <v>305</v>
      </c>
      <c r="G141" s="23">
        <f t="shared" si="1"/>
        <v>0</v>
      </c>
      <c r="H141" s="63"/>
      <c r="I141" s="63"/>
      <c r="J141" s="63"/>
      <c r="K141" s="63"/>
      <c r="L141" s="61"/>
      <c r="M141" s="24"/>
      <c r="P141" s="25">
        <v>890</v>
      </c>
    </row>
    <row r="142" spans="3:16" ht="12.75" x14ac:dyDescent="0.2">
      <c r="C142" s="6"/>
      <c r="D142" s="55" t="s">
        <v>306</v>
      </c>
      <c r="E142" s="21" t="s">
        <v>307</v>
      </c>
      <c r="F142" s="22" t="s">
        <v>308</v>
      </c>
      <c r="G142" s="23">
        <f t="shared" si="1"/>
        <v>7455.21504</v>
      </c>
      <c r="H142" s="64">
        <f>SUM( H143:H144)</f>
        <v>0</v>
      </c>
      <c r="I142" s="64">
        <f>SUM( I143:I144)</f>
        <v>0</v>
      </c>
      <c r="J142" s="64">
        <f>SUM( J143:J144)</f>
        <v>828.00244799999996</v>
      </c>
      <c r="K142" s="64">
        <f>SUM( K143:K144)</f>
        <v>6627.2125919999999</v>
      </c>
      <c r="L142" s="61"/>
      <c r="M142" s="24"/>
      <c r="P142" s="25">
        <v>900</v>
      </c>
    </row>
    <row r="143" spans="3:16" ht="12.75" x14ac:dyDescent="0.2">
      <c r="C143" s="6"/>
      <c r="D143" s="55" t="s">
        <v>309</v>
      </c>
      <c r="E143" s="26" t="s">
        <v>185</v>
      </c>
      <c r="F143" s="22" t="s">
        <v>310</v>
      </c>
      <c r="G143" s="23">
        <f t="shared" si="1"/>
        <v>7455.21504</v>
      </c>
      <c r="H143" s="63"/>
      <c r="I143" s="63"/>
      <c r="J143" s="65">
        <f>J121*1.456</f>
        <v>828.00244799999996</v>
      </c>
      <c r="K143" s="65">
        <f>K121*1.456</f>
        <v>6627.2125919999999</v>
      </c>
      <c r="L143" s="61"/>
      <c r="M143" s="24"/>
      <c r="P143" s="25"/>
    </row>
    <row r="144" spans="3:16" ht="12.75" x14ac:dyDescent="0.2">
      <c r="C144" s="6"/>
      <c r="D144" s="55" t="s">
        <v>311</v>
      </c>
      <c r="E144" s="26" t="s">
        <v>188</v>
      </c>
      <c r="F144" s="22" t="s">
        <v>312</v>
      </c>
      <c r="G144" s="23">
        <f t="shared" si="1"/>
        <v>0</v>
      </c>
      <c r="H144" s="64">
        <f>H145+H146</f>
        <v>0</v>
      </c>
      <c r="I144" s="64">
        <f>I145+I146</f>
        <v>0</v>
      </c>
      <c r="J144" s="64">
        <f>J145+J146</f>
        <v>0</v>
      </c>
      <c r="K144" s="64">
        <f>K145+K146</f>
        <v>0</v>
      </c>
      <c r="L144" s="61"/>
      <c r="M144" s="24"/>
      <c r="P144" s="25"/>
    </row>
    <row r="145" spans="3:19" ht="12.75" x14ac:dyDescent="0.2">
      <c r="C145" s="6"/>
      <c r="D145" s="55" t="s">
        <v>313</v>
      </c>
      <c r="E145" s="48" t="s">
        <v>314</v>
      </c>
      <c r="F145" s="22" t="s">
        <v>315</v>
      </c>
      <c r="G145" s="23">
        <f t="shared" si="1"/>
        <v>0</v>
      </c>
      <c r="H145" s="63"/>
      <c r="I145" s="63"/>
      <c r="J145" s="63"/>
      <c r="K145" s="63"/>
      <c r="L145" s="61"/>
      <c r="M145" s="24"/>
      <c r="P145" s="25" t="s">
        <v>316</v>
      </c>
    </row>
    <row r="146" spans="3:19" ht="12.75" x14ac:dyDescent="0.2">
      <c r="C146" s="6"/>
      <c r="D146" s="55" t="s">
        <v>317</v>
      </c>
      <c r="E146" s="48" t="s">
        <v>283</v>
      </c>
      <c r="F146" s="22" t="s">
        <v>318</v>
      </c>
      <c r="G146" s="23">
        <f t="shared" si="1"/>
        <v>0</v>
      </c>
      <c r="H146" s="63"/>
      <c r="I146" s="63"/>
      <c r="J146" s="63"/>
      <c r="K146" s="66"/>
      <c r="L146" s="61"/>
      <c r="M146" s="24"/>
      <c r="P146" s="25" t="s">
        <v>319</v>
      </c>
    </row>
    <row r="147" spans="3:19" x14ac:dyDescent="0.25">
      <c r="D147" s="11"/>
      <c r="E147" s="67"/>
      <c r="F147" s="67"/>
      <c r="G147" s="67"/>
      <c r="H147" s="67"/>
      <c r="I147" s="67"/>
      <c r="J147" s="67"/>
      <c r="K147" s="68"/>
      <c r="L147" s="68"/>
      <c r="M147" s="68"/>
      <c r="N147" s="68"/>
      <c r="O147" s="68"/>
      <c r="P147" s="68"/>
      <c r="Q147" s="68"/>
      <c r="R147" s="69"/>
      <c r="S147" s="69"/>
    </row>
    <row r="148" spans="3:19" ht="12.75" x14ac:dyDescent="0.2">
      <c r="E148" s="24" t="s">
        <v>320</v>
      </c>
      <c r="F148" s="79" t="str">
        <f>IF([1]Титульный!G45="","",[1]Титульный!G45)</f>
        <v>Коммерческий директор</v>
      </c>
      <c r="G148" s="79"/>
      <c r="H148" s="70"/>
      <c r="I148" s="79" t="str">
        <f>IF([1]Титульный!G44="","",[1]Титульный!G44)</f>
        <v>Байков Алексей Александрович</v>
      </c>
      <c r="J148" s="79"/>
      <c r="K148" s="79"/>
      <c r="L148" s="70"/>
      <c r="M148" s="71"/>
      <c r="N148" s="71"/>
      <c r="O148" s="72"/>
      <c r="P148" s="68"/>
      <c r="Q148" s="68"/>
      <c r="R148" s="69"/>
      <c r="S148" s="69"/>
    </row>
    <row r="149" spans="3:19" ht="12.75" x14ac:dyDescent="0.2">
      <c r="E149" s="73" t="s">
        <v>321</v>
      </c>
      <c r="F149" s="78" t="s">
        <v>322</v>
      </c>
      <c r="G149" s="78"/>
      <c r="H149" s="72"/>
      <c r="I149" s="78" t="s">
        <v>323</v>
      </c>
      <c r="J149" s="78"/>
      <c r="K149" s="78"/>
      <c r="L149" s="72"/>
      <c r="M149" s="78" t="s">
        <v>324</v>
      </c>
      <c r="N149" s="78"/>
      <c r="O149" s="24"/>
      <c r="P149" s="68"/>
      <c r="Q149" s="68"/>
      <c r="R149" s="69"/>
      <c r="S149" s="69"/>
    </row>
    <row r="150" spans="3:19" ht="12.75" x14ac:dyDescent="0.2">
      <c r="E150" s="73" t="s">
        <v>325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68"/>
      <c r="Q150" s="68"/>
      <c r="R150" s="69"/>
      <c r="S150" s="69"/>
    </row>
    <row r="151" spans="3:19" ht="12.75" x14ac:dyDescent="0.2">
      <c r="E151" s="73" t="s">
        <v>326</v>
      </c>
      <c r="F151" s="79" t="str">
        <f>IF([1]Титульный!G46="","",[1]Титульный!G46)</f>
        <v>(495) 637 3220</v>
      </c>
      <c r="G151" s="79"/>
      <c r="H151" s="79"/>
      <c r="I151" s="24"/>
      <c r="J151" s="73" t="s">
        <v>327</v>
      </c>
      <c r="K151" s="74"/>
      <c r="L151" s="24"/>
      <c r="M151" s="24"/>
      <c r="N151" s="24"/>
      <c r="O151" s="24"/>
      <c r="P151" s="68"/>
      <c r="Q151" s="68"/>
      <c r="R151" s="69"/>
      <c r="S151" s="69"/>
    </row>
    <row r="152" spans="3:19" ht="12.75" x14ac:dyDescent="0.2">
      <c r="E152" s="24" t="s">
        <v>328</v>
      </c>
      <c r="F152" s="80" t="s">
        <v>329</v>
      </c>
      <c r="G152" s="80"/>
      <c r="H152" s="80"/>
      <c r="I152" s="24"/>
      <c r="J152" s="75" t="s">
        <v>330</v>
      </c>
      <c r="K152" s="75"/>
      <c r="L152" s="24"/>
      <c r="M152" s="24"/>
      <c r="N152" s="24"/>
      <c r="O152" s="24"/>
      <c r="P152" s="68"/>
      <c r="Q152" s="68"/>
      <c r="R152" s="69"/>
      <c r="S152" s="69"/>
    </row>
    <row r="153" spans="3:19" x14ac:dyDescent="0.25"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9"/>
      <c r="S153" s="69"/>
    </row>
    <row r="154" spans="3:19" x14ac:dyDescent="0.25"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9"/>
      <c r="S154" s="69"/>
    </row>
    <row r="155" spans="3:19" x14ac:dyDescent="0.25"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9"/>
      <c r="S155" s="69"/>
    </row>
    <row r="156" spans="3:19" x14ac:dyDescent="0.25"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9"/>
      <c r="S156" s="69"/>
    </row>
    <row r="157" spans="3:19" x14ac:dyDescent="0.25"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9"/>
      <c r="S157" s="69"/>
    </row>
    <row r="158" spans="3:19" x14ac:dyDescent="0.25"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9"/>
      <c r="S158" s="69"/>
    </row>
    <row r="159" spans="3:19" x14ac:dyDescent="0.25"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  <c r="S159" s="69"/>
    </row>
    <row r="160" spans="3:19" x14ac:dyDescent="0.25"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9"/>
      <c r="S160" s="69"/>
    </row>
    <row r="161" spans="5:19" x14ac:dyDescent="0.25"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9"/>
      <c r="S161" s="69"/>
    </row>
    <row r="162" spans="5:19" x14ac:dyDescent="0.25"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9"/>
      <c r="S162" s="69"/>
    </row>
    <row r="163" spans="5:19" x14ac:dyDescent="0.25"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9"/>
      <c r="S163" s="69"/>
    </row>
    <row r="164" spans="5:19" x14ac:dyDescent="0.25"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9"/>
      <c r="S164" s="69"/>
    </row>
    <row r="165" spans="5:19" x14ac:dyDescent="0.25"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9"/>
      <c r="S165" s="69"/>
    </row>
    <row r="166" spans="5:19" x14ac:dyDescent="0.25"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9"/>
      <c r="S166" s="69"/>
    </row>
    <row r="167" spans="5:19" x14ac:dyDescent="0.25"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9"/>
      <c r="S167" s="69"/>
    </row>
    <row r="168" spans="5:19" x14ac:dyDescent="0.25"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9"/>
      <c r="S168" s="69"/>
    </row>
    <row r="169" spans="5:19" x14ac:dyDescent="0.25"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9"/>
      <c r="S169" s="69"/>
    </row>
    <row r="170" spans="5:19" x14ac:dyDescent="0.25"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9"/>
      <c r="S170" s="69"/>
    </row>
    <row r="171" spans="5:19" x14ac:dyDescent="0.25"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9"/>
      <c r="S171" s="69"/>
    </row>
    <row r="172" spans="5:19" x14ac:dyDescent="0.25"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9"/>
      <c r="S172" s="69"/>
    </row>
    <row r="173" spans="5:19" x14ac:dyDescent="0.25"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9"/>
      <c r="S173" s="69"/>
    </row>
    <row r="174" spans="5:19" x14ac:dyDescent="0.25"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9"/>
      <c r="S174" s="69"/>
    </row>
    <row r="175" spans="5:19" x14ac:dyDescent="0.25"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9"/>
      <c r="S175" s="69"/>
    </row>
    <row r="176" spans="5:19" x14ac:dyDescent="0.25"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9"/>
      <c r="S176" s="69"/>
    </row>
    <row r="177" spans="5:19" x14ac:dyDescent="0.25"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9"/>
      <c r="S177" s="69"/>
    </row>
    <row r="178" spans="5:19" x14ac:dyDescent="0.25"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</row>
    <row r="179" spans="5:19" x14ac:dyDescent="0.25"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5:19" x14ac:dyDescent="0.25"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5:19" x14ac:dyDescent="0.25"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</sheetData>
  <mergeCells count="18">
    <mergeCell ref="F148:G148"/>
    <mergeCell ref="I148:K148"/>
    <mergeCell ref="D8:E8"/>
    <mergeCell ref="D11:D12"/>
    <mergeCell ref="E11:E12"/>
    <mergeCell ref="F11:F12"/>
    <mergeCell ref="G11:G12"/>
    <mergeCell ref="H11:K11"/>
    <mergeCell ref="D14:K14"/>
    <mergeCell ref="D51:K51"/>
    <mergeCell ref="D88:K88"/>
    <mergeCell ref="D92:K92"/>
    <mergeCell ref="D125:K125"/>
    <mergeCell ref="F149:G149"/>
    <mergeCell ref="I149:K149"/>
    <mergeCell ref="M149:N149"/>
    <mergeCell ref="F151:H151"/>
    <mergeCell ref="F152:H152"/>
  </mergeCells>
  <dataValidations count="2">
    <dataValidation type="decimal" allowBlank="1" showErrorMessage="1" errorTitle="Ошибка" error="Допускается ввод только действительных чисел!" sqref="G23:K25 G89:K91 G93:K124 G52:K55 G42:K50 G64:K77 G20:K21 G60:K62 G27:K40 G15:K18 G126:K146 G57:K58 G79:K87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25 E62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81"/>
  <sheetViews>
    <sheetView view="pageBreakPreview" topLeftCell="C7" zoomScaleNormal="100" zoomScaleSheetLayoutView="100" workbookViewId="0">
      <selection activeCell="M38" sqref="M38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idden="1" x14ac:dyDescent="0.25">
      <c r="S1" s="2"/>
      <c r="T1" s="2"/>
      <c r="U1" s="2"/>
      <c r="V1" s="2"/>
      <c r="Y1" s="2"/>
      <c r="AN1" s="2"/>
      <c r="AO1" s="2"/>
      <c r="AP1" s="2"/>
      <c r="BC1" s="2"/>
      <c r="BF1" s="2"/>
      <c r="BI1" s="2"/>
      <c r="BJ1" s="2"/>
      <c r="BX1" s="2"/>
      <c r="BY1" s="2"/>
    </row>
    <row r="2" spans="1:77" hidden="1" x14ac:dyDescent="0.25"/>
    <row r="3" spans="1:77" hidden="1" x14ac:dyDescent="0.25"/>
    <row r="4" spans="1:77" hidden="1" x14ac:dyDescent="0.2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idden="1" x14ac:dyDescent="0.2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idden="1" x14ac:dyDescent="0.25">
      <c r="A6" s="5"/>
    </row>
    <row r="7" spans="1:77" ht="12" customHeight="1" x14ac:dyDescent="0.25">
      <c r="A7" s="5"/>
      <c r="D7" s="6"/>
      <c r="E7" s="6"/>
      <c r="F7" s="6"/>
      <c r="G7" s="6"/>
      <c r="H7" s="6"/>
      <c r="I7" s="6"/>
      <c r="J7" s="6"/>
      <c r="K7" s="7"/>
      <c r="Q7" s="8"/>
    </row>
    <row r="8" spans="1:77" ht="22.5" customHeight="1" x14ac:dyDescent="0.25">
      <c r="A8" s="5"/>
      <c r="D8" s="81" t="s">
        <v>11</v>
      </c>
      <c r="E8" s="8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77" x14ac:dyDescent="0.25">
      <c r="A9" s="5"/>
      <c r="D9" s="10" t="str">
        <f>IF(org="","Не определено",org)</f>
        <v>ЗАО "Коттон Вэй"</v>
      </c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77" ht="12" customHeight="1" x14ac:dyDescent="0.25">
      <c r="D10" s="11"/>
      <c r="E10" s="11"/>
      <c r="F10" s="6"/>
      <c r="G10" s="6"/>
      <c r="H10" s="6"/>
      <c r="I10" s="6"/>
      <c r="K10" s="12" t="s">
        <v>12</v>
      </c>
    </row>
    <row r="11" spans="1:77" ht="15" customHeight="1" x14ac:dyDescent="0.25">
      <c r="C11" s="6"/>
      <c r="D11" s="82" t="s">
        <v>13</v>
      </c>
      <c r="E11" s="84" t="s">
        <v>14</v>
      </c>
      <c r="F11" s="84" t="s">
        <v>15</v>
      </c>
      <c r="G11" s="84" t="s">
        <v>16</v>
      </c>
      <c r="H11" s="84" t="s">
        <v>17</v>
      </c>
      <c r="I11" s="84"/>
      <c r="J11" s="84"/>
      <c r="K11" s="86"/>
      <c r="L11" s="13"/>
    </row>
    <row r="12" spans="1:77" ht="15" customHeight="1" x14ac:dyDescent="0.25">
      <c r="C12" s="6"/>
      <c r="D12" s="83"/>
      <c r="E12" s="85"/>
      <c r="F12" s="85"/>
      <c r="G12" s="85"/>
      <c r="H12" s="14" t="s">
        <v>18</v>
      </c>
      <c r="I12" s="14" t="s">
        <v>19</v>
      </c>
      <c r="J12" s="14" t="s">
        <v>20</v>
      </c>
      <c r="K12" s="15" t="s">
        <v>21</v>
      </c>
      <c r="L12" s="13"/>
    </row>
    <row r="13" spans="1:77" ht="12" customHeight="1" x14ac:dyDescent="0.25">
      <c r="D13" s="16">
        <v>0</v>
      </c>
      <c r="E13" s="16">
        <v>1</v>
      </c>
      <c r="F13" s="16">
        <v>2</v>
      </c>
      <c r="G13" s="16">
        <v>3</v>
      </c>
      <c r="H13" s="16">
        <v>4</v>
      </c>
      <c r="I13" s="16">
        <v>5</v>
      </c>
      <c r="J13" s="16">
        <v>6</v>
      </c>
      <c r="K13" s="16">
        <v>7</v>
      </c>
    </row>
    <row r="14" spans="1:77" s="17" customFormat="1" ht="15" customHeight="1" x14ac:dyDescent="0.25">
      <c r="C14" s="18"/>
      <c r="D14" s="87" t="s">
        <v>22</v>
      </c>
      <c r="E14" s="88"/>
      <c r="F14" s="88"/>
      <c r="G14" s="88"/>
      <c r="H14" s="88"/>
      <c r="I14" s="88"/>
      <c r="J14" s="88"/>
      <c r="K14" s="89"/>
      <c r="L14" s="19"/>
    </row>
    <row r="15" spans="1:77" s="17" customFormat="1" ht="15" customHeight="1" x14ac:dyDescent="0.2">
      <c r="C15" s="18"/>
      <c r="D15" s="20" t="s">
        <v>23</v>
      </c>
      <c r="E15" s="21" t="s">
        <v>24</v>
      </c>
      <c r="F15" s="22">
        <v>10</v>
      </c>
      <c r="G15" s="23">
        <f>SUM(H15:K15)</f>
        <v>12822.629000000001</v>
      </c>
      <c r="H15" s="23">
        <f>H16+H17+H20+H23</f>
        <v>10032.202000000001</v>
      </c>
      <c r="I15" s="23">
        <f>I16+I17+I20+I23</f>
        <v>0</v>
      </c>
      <c r="J15" s="23">
        <f>J16+J17+J20+J23</f>
        <v>2790.4270000000001</v>
      </c>
      <c r="K15" s="23">
        <f>K16+K17+K20+K23</f>
        <v>0</v>
      </c>
      <c r="L15" s="19"/>
      <c r="M15" s="24"/>
      <c r="P15" s="25">
        <v>10</v>
      </c>
    </row>
    <row r="16" spans="1:77" s="17" customFormat="1" ht="15" customHeight="1" x14ac:dyDescent="0.2">
      <c r="C16" s="18"/>
      <c r="D16" s="20" t="s">
        <v>25</v>
      </c>
      <c r="E16" s="26" t="s">
        <v>26</v>
      </c>
      <c r="F16" s="22">
        <v>20</v>
      </c>
      <c r="G16" s="23">
        <f t="shared" ref="G16:G132" si="0">SUM(H16:K16)</f>
        <v>0</v>
      </c>
      <c r="H16" s="27"/>
      <c r="I16" s="27"/>
      <c r="J16" s="27"/>
      <c r="K16" s="27"/>
      <c r="L16" s="19"/>
      <c r="M16" s="24"/>
      <c r="P16" s="25">
        <v>20</v>
      </c>
    </row>
    <row r="17" spans="3:16" s="17" customFormat="1" ht="12.75" x14ac:dyDescent="0.2">
      <c r="C17" s="18"/>
      <c r="D17" s="20" t="s">
        <v>27</v>
      </c>
      <c r="E17" s="26" t="s">
        <v>28</v>
      </c>
      <c r="F17" s="22">
        <v>30</v>
      </c>
      <c r="G17" s="23">
        <f t="shared" si="0"/>
        <v>0</v>
      </c>
      <c r="H17" s="23">
        <f>SUM(H18:H19)</f>
        <v>0</v>
      </c>
      <c r="I17" s="23">
        <f>SUM(I18:I19)</f>
        <v>0</v>
      </c>
      <c r="J17" s="23">
        <f>SUM(J18:J19)</f>
        <v>0</v>
      </c>
      <c r="K17" s="23">
        <f>SUM(K18:K19)</f>
        <v>0</v>
      </c>
      <c r="L17" s="19"/>
      <c r="M17" s="24"/>
      <c r="P17" s="25">
        <v>30</v>
      </c>
    </row>
    <row r="18" spans="3:16" s="17" customFormat="1" ht="12.75" x14ac:dyDescent="0.2">
      <c r="C18" s="18"/>
      <c r="D18" s="28" t="s">
        <v>29</v>
      </c>
      <c r="E18" s="29"/>
      <c r="F18" s="30" t="s">
        <v>30</v>
      </c>
      <c r="G18" s="31"/>
      <c r="H18" s="31"/>
      <c r="I18" s="31"/>
      <c r="J18" s="31"/>
      <c r="K18" s="31"/>
      <c r="L18" s="19"/>
      <c r="M18" s="24"/>
      <c r="P18" s="25"/>
    </row>
    <row r="19" spans="3:16" s="17" customFormat="1" ht="12.75" x14ac:dyDescent="0.2">
      <c r="C19" s="18"/>
      <c r="D19" s="32"/>
      <c r="E19" s="33" t="s">
        <v>31</v>
      </c>
      <c r="F19" s="34"/>
      <c r="G19" s="34"/>
      <c r="H19" s="34"/>
      <c r="I19" s="34"/>
      <c r="J19" s="34"/>
      <c r="K19" s="35"/>
      <c r="L19" s="19"/>
      <c r="M19" s="24"/>
      <c r="P19" s="36"/>
    </row>
    <row r="20" spans="3:16" s="17" customFormat="1" ht="12.75" x14ac:dyDescent="0.2">
      <c r="C20" s="18"/>
      <c r="D20" s="20" t="s">
        <v>32</v>
      </c>
      <c r="E20" s="26" t="s">
        <v>33</v>
      </c>
      <c r="F20" s="22" t="s">
        <v>34</v>
      </c>
      <c r="G20" s="23">
        <f t="shared" si="0"/>
        <v>0</v>
      </c>
      <c r="H20" s="23">
        <f>SUM(H21:H22)</f>
        <v>0</v>
      </c>
      <c r="I20" s="23">
        <f>SUM(I21:I22)</f>
        <v>0</v>
      </c>
      <c r="J20" s="23">
        <f>SUM(J21:J22)</f>
        <v>0</v>
      </c>
      <c r="K20" s="23">
        <f>SUM(K21:K22)</f>
        <v>0</v>
      </c>
      <c r="L20" s="19"/>
      <c r="M20" s="24"/>
      <c r="P20" s="36"/>
    </row>
    <row r="21" spans="3:16" s="17" customFormat="1" ht="12.75" x14ac:dyDescent="0.2">
      <c r="C21" s="18"/>
      <c r="D21" s="28" t="s">
        <v>35</v>
      </c>
      <c r="E21" s="29"/>
      <c r="F21" s="30" t="s">
        <v>34</v>
      </c>
      <c r="G21" s="31"/>
      <c r="H21" s="31"/>
      <c r="I21" s="31"/>
      <c r="J21" s="31"/>
      <c r="K21" s="31"/>
      <c r="L21" s="19"/>
      <c r="M21" s="24"/>
      <c r="P21" s="25"/>
    </row>
    <row r="22" spans="3:16" s="17" customFormat="1" ht="12.75" x14ac:dyDescent="0.2">
      <c r="C22" s="18"/>
      <c r="D22" s="32"/>
      <c r="E22" s="33" t="s">
        <v>31</v>
      </c>
      <c r="F22" s="34"/>
      <c r="G22" s="34"/>
      <c r="H22" s="34"/>
      <c r="I22" s="34"/>
      <c r="J22" s="34"/>
      <c r="K22" s="35"/>
      <c r="L22" s="19"/>
      <c r="M22" s="24"/>
      <c r="P22" s="36"/>
    </row>
    <row r="23" spans="3:16" s="17" customFormat="1" ht="12.75" x14ac:dyDescent="0.2">
      <c r="C23" s="18"/>
      <c r="D23" s="20" t="s">
        <v>36</v>
      </c>
      <c r="E23" s="26" t="s">
        <v>37</v>
      </c>
      <c r="F23" s="22" t="s">
        <v>38</v>
      </c>
      <c r="G23" s="23">
        <f t="shared" si="0"/>
        <v>12822.629000000001</v>
      </c>
      <c r="H23" s="23">
        <f>SUM(H24:H26)</f>
        <v>10032.202000000001</v>
      </c>
      <c r="I23" s="23">
        <f>SUM(I24:I26)</f>
        <v>0</v>
      </c>
      <c r="J23" s="23">
        <f>SUM(J24:J26)</f>
        <v>2790.4270000000001</v>
      </c>
      <c r="K23" s="23">
        <f>SUM(K24:K26)</f>
        <v>0</v>
      </c>
      <c r="L23" s="19"/>
      <c r="M23" s="24"/>
      <c r="P23" s="25">
        <v>40</v>
      </c>
    </row>
    <row r="24" spans="3:16" s="17" customFormat="1" ht="12.75" x14ac:dyDescent="0.2">
      <c r="C24" s="18"/>
      <c r="D24" s="28" t="s">
        <v>39</v>
      </c>
      <c r="E24" s="29"/>
      <c r="F24" s="30" t="s">
        <v>38</v>
      </c>
      <c r="G24" s="31"/>
      <c r="H24" s="31"/>
      <c r="I24" s="31"/>
      <c r="J24" s="31"/>
      <c r="K24" s="31"/>
      <c r="L24" s="19"/>
      <c r="M24" s="24"/>
      <c r="P24" s="25"/>
    </row>
    <row r="25" spans="3:16" s="17" customFormat="1" ht="15" x14ac:dyDescent="0.25">
      <c r="C25" s="37" t="s">
        <v>40</v>
      </c>
      <c r="D25" s="38" t="s">
        <v>41</v>
      </c>
      <c r="E25" s="39" t="s">
        <v>42</v>
      </c>
      <c r="F25" s="40">
        <v>431</v>
      </c>
      <c r="G25" s="41">
        <f>SUM(H25:K25)</f>
        <v>12822.629000000001</v>
      </c>
      <c r="H25" s="42">
        <f>'1квартал'!H25+'2квартал'!H25</f>
        <v>10032.202000000001</v>
      </c>
      <c r="I25" s="42">
        <v>0</v>
      </c>
      <c r="J25" s="42">
        <f>'1квартал'!J25+'2квартал'!J25</f>
        <v>2790.4270000000001</v>
      </c>
      <c r="K25" s="42">
        <v>0</v>
      </c>
      <c r="L25" s="19"/>
      <c r="M25" s="43" t="s">
        <v>43</v>
      </c>
      <c r="N25" s="44" t="s">
        <v>44</v>
      </c>
      <c r="O25" s="44" t="s">
        <v>45</v>
      </c>
    </row>
    <row r="26" spans="3:16" s="17" customFormat="1" ht="12.75" x14ac:dyDescent="0.2">
      <c r="C26" s="18"/>
      <c r="D26" s="32"/>
      <c r="E26" s="33" t="s">
        <v>31</v>
      </c>
      <c r="F26" s="34"/>
      <c r="G26" s="34"/>
      <c r="H26" s="34"/>
      <c r="I26" s="34"/>
      <c r="J26" s="34"/>
      <c r="K26" s="35"/>
      <c r="L26" s="19"/>
      <c r="M26" s="24"/>
      <c r="P26" s="25"/>
    </row>
    <row r="27" spans="3:16" s="17" customFormat="1" ht="12.75" x14ac:dyDescent="0.2">
      <c r="C27" s="18"/>
      <c r="D27" s="20" t="s">
        <v>46</v>
      </c>
      <c r="E27" s="21" t="s">
        <v>47</v>
      </c>
      <c r="F27" s="22" t="s">
        <v>48</v>
      </c>
      <c r="G27" s="23">
        <f t="shared" si="0"/>
        <v>21459.920000000002</v>
      </c>
      <c r="H27" s="23">
        <f>H29+H30+H31</f>
        <v>0</v>
      </c>
      <c r="I27" s="23">
        <f>I28+I30+I31</f>
        <v>0</v>
      </c>
      <c r="J27" s="23">
        <f>J28+J29+J31</f>
        <v>10032.202000000001</v>
      </c>
      <c r="K27" s="23">
        <f>K28+K29+K30</f>
        <v>11427.718000000001</v>
      </c>
      <c r="L27" s="19"/>
      <c r="M27" s="24"/>
      <c r="P27" s="25">
        <v>50</v>
      </c>
    </row>
    <row r="28" spans="3:16" s="17" customFormat="1" ht="12.75" x14ac:dyDescent="0.2">
      <c r="C28" s="18"/>
      <c r="D28" s="20" t="s">
        <v>49</v>
      </c>
      <c r="E28" s="26" t="s">
        <v>18</v>
      </c>
      <c r="F28" s="22" t="s">
        <v>50</v>
      </c>
      <c r="G28" s="23">
        <f t="shared" si="0"/>
        <v>10032.202000000001</v>
      </c>
      <c r="H28" s="45"/>
      <c r="I28" s="27"/>
      <c r="J28" s="27">
        <f>H25</f>
        <v>10032.202000000001</v>
      </c>
      <c r="K28" s="27"/>
      <c r="L28" s="19"/>
      <c r="M28" s="24"/>
      <c r="P28" s="25">
        <v>60</v>
      </c>
    </row>
    <row r="29" spans="3:16" s="17" customFormat="1" ht="12.75" x14ac:dyDescent="0.2">
      <c r="C29" s="18"/>
      <c r="D29" s="20" t="s">
        <v>51</v>
      </c>
      <c r="E29" s="26" t="s">
        <v>19</v>
      </c>
      <c r="F29" s="22" t="s">
        <v>52</v>
      </c>
      <c r="G29" s="23">
        <f t="shared" si="0"/>
        <v>0</v>
      </c>
      <c r="H29" s="27"/>
      <c r="I29" s="45"/>
      <c r="J29" s="27"/>
      <c r="K29" s="27"/>
      <c r="L29" s="19"/>
      <c r="M29" s="24"/>
      <c r="P29" s="25">
        <v>70</v>
      </c>
    </row>
    <row r="30" spans="3:16" s="17" customFormat="1" ht="12.75" x14ac:dyDescent="0.2">
      <c r="C30" s="18"/>
      <c r="D30" s="20" t="s">
        <v>53</v>
      </c>
      <c r="E30" s="26" t="s">
        <v>20</v>
      </c>
      <c r="F30" s="22" t="s">
        <v>54</v>
      </c>
      <c r="G30" s="23">
        <f t="shared" si="0"/>
        <v>11427.718000000001</v>
      </c>
      <c r="H30" s="27"/>
      <c r="I30" s="27"/>
      <c r="J30" s="45"/>
      <c r="K30" s="27">
        <f>H25+J25-J36-J46</f>
        <v>11427.718000000001</v>
      </c>
      <c r="L30" s="19"/>
      <c r="M30" s="24"/>
      <c r="P30" s="25">
        <v>80</v>
      </c>
    </row>
    <row r="31" spans="3:16" s="17" customFormat="1" ht="12.75" x14ac:dyDescent="0.2">
      <c r="C31" s="18"/>
      <c r="D31" s="20" t="s">
        <v>55</v>
      </c>
      <c r="E31" s="26" t="s">
        <v>56</v>
      </c>
      <c r="F31" s="22" t="s">
        <v>57</v>
      </c>
      <c r="G31" s="23">
        <f t="shared" si="0"/>
        <v>0</v>
      </c>
      <c r="H31" s="27"/>
      <c r="I31" s="27"/>
      <c r="J31" s="27"/>
      <c r="K31" s="45"/>
      <c r="L31" s="19"/>
      <c r="M31" s="24"/>
      <c r="P31" s="25">
        <v>90</v>
      </c>
    </row>
    <row r="32" spans="3:16" s="17" customFormat="1" ht="12.75" x14ac:dyDescent="0.2">
      <c r="C32" s="18"/>
      <c r="D32" s="20" t="s">
        <v>58</v>
      </c>
      <c r="E32" s="46" t="s">
        <v>59</v>
      </c>
      <c r="F32" s="22" t="s">
        <v>60</v>
      </c>
      <c r="G32" s="23">
        <f t="shared" si="0"/>
        <v>0</v>
      </c>
      <c r="H32" s="27"/>
      <c r="I32" s="27"/>
      <c r="J32" s="27"/>
      <c r="K32" s="27"/>
      <c r="L32" s="19"/>
      <c r="M32" s="24"/>
      <c r="P32" s="25"/>
    </row>
    <row r="33" spans="3:16" s="17" customFormat="1" ht="12.75" x14ac:dyDescent="0.2">
      <c r="C33" s="18"/>
      <c r="D33" s="20" t="s">
        <v>61</v>
      </c>
      <c r="E33" s="21" t="s">
        <v>62</v>
      </c>
      <c r="F33" s="47" t="s">
        <v>63</v>
      </c>
      <c r="G33" s="23">
        <f t="shared" si="0"/>
        <v>12760.483</v>
      </c>
      <c r="H33" s="23">
        <f>H34+H36+H39+H42</f>
        <v>0</v>
      </c>
      <c r="I33" s="23">
        <f>I34+I36+I39+I42</f>
        <v>0</v>
      </c>
      <c r="J33" s="23">
        <f>J34+J36+J39+J42</f>
        <v>1394.9110000000001</v>
      </c>
      <c r="K33" s="23">
        <f>K34+K36+K39+K42</f>
        <v>11365.572</v>
      </c>
      <c r="L33" s="19"/>
      <c r="M33" s="24"/>
      <c r="P33" s="25">
        <v>100</v>
      </c>
    </row>
    <row r="34" spans="3:16" s="17" customFormat="1" ht="22.5" x14ac:dyDescent="0.2">
      <c r="C34" s="18"/>
      <c r="D34" s="20" t="s">
        <v>64</v>
      </c>
      <c r="E34" s="26" t="s">
        <v>65</v>
      </c>
      <c r="F34" s="22" t="s">
        <v>66</v>
      </c>
      <c r="G34" s="23">
        <f t="shared" si="0"/>
        <v>0</v>
      </c>
      <c r="H34" s="27"/>
      <c r="I34" s="27"/>
      <c r="J34" s="27"/>
      <c r="K34" s="27"/>
      <c r="L34" s="19"/>
      <c r="M34" s="24"/>
      <c r="P34" s="25"/>
    </row>
    <row r="35" spans="3:16" s="17" customFormat="1" ht="12.75" x14ac:dyDescent="0.2">
      <c r="C35" s="18"/>
      <c r="D35" s="20" t="s">
        <v>67</v>
      </c>
      <c r="E35" s="48" t="s">
        <v>68</v>
      </c>
      <c r="F35" s="22" t="s">
        <v>69</v>
      </c>
      <c r="G35" s="23">
        <f t="shared" si="0"/>
        <v>0</v>
      </c>
      <c r="H35" s="27"/>
      <c r="I35" s="27"/>
      <c r="J35" s="27"/>
      <c r="K35" s="27"/>
      <c r="L35" s="19"/>
      <c r="M35" s="24"/>
      <c r="P35" s="25"/>
    </row>
    <row r="36" spans="3:16" s="17" customFormat="1" ht="12.75" x14ac:dyDescent="0.2">
      <c r="C36" s="18"/>
      <c r="D36" s="20" t="s">
        <v>70</v>
      </c>
      <c r="E36" s="26" t="s">
        <v>71</v>
      </c>
      <c r="F36" s="22" t="s">
        <v>72</v>
      </c>
      <c r="G36" s="23">
        <f t="shared" si="0"/>
        <v>12760.483</v>
      </c>
      <c r="H36" s="27">
        <v>0</v>
      </c>
      <c r="I36" s="27">
        <v>0</v>
      </c>
      <c r="J36" s="42">
        <f>'1квартал'!J36+'2квартал'!J36</f>
        <v>1394.9110000000001</v>
      </c>
      <c r="K36" s="42">
        <f>'1квартал'!K36+'2квартал'!K36</f>
        <v>11365.572</v>
      </c>
      <c r="L36" s="19"/>
      <c r="M36" s="24"/>
      <c r="P36" s="25"/>
    </row>
    <row r="37" spans="3:16" s="17" customFormat="1" ht="12.75" x14ac:dyDescent="0.2">
      <c r="C37" s="18"/>
      <c r="D37" s="20" t="s">
        <v>73</v>
      </c>
      <c r="E37" s="48" t="s">
        <v>74</v>
      </c>
      <c r="F37" s="22" t="s">
        <v>75</v>
      </c>
      <c r="G37" s="23">
        <f t="shared" si="0"/>
        <v>0</v>
      </c>
      <c r="H37" s="27"/>
      <c r="I37" s="27"/>
      <c r="J37" s="27"/>
      <c r="K37" s="27"/>
      <c r="L37" s="19"/>
      <c r="M37" s="24"/>
      <c r="P37" s="25"/>
    </row>
    <row r="38" spans="3:16" s="17" customFormat="1" ht="12.75" x14ac:dyDescent="0.2">
      <c r="C38" s="18"/>
      <c r="D38" s="20" t="s">
        <v>76</v>
      </c>
      <c r="E38" s="49" t="s">
        <v>68</v>
      </c>
      <c r="F38" s="22" t="s">
        <v>77</v>
      </c>
      <c r="G38" s="23">
        <f t="shared" si="0"/>
        <v>0</v>
      </c>
      <c r="H38" s="27"/>
      <c r="I38" s="27"/>
      <c r="J38" s="27"/>
      <c r="K38" s="27"/>
      <c r="L38" s="19"/>
      <c r="M38" s="24"/>
      <c r="P38" s="25"/>
    </row>
    <row r="39" spans="3:16" s="17" customFormat="1" ht="12.75" x14ac:dyDescent="0.2">
      <c r="C39" s="18"/>
      <c r="D39" s="20" t="s">
        <v>78</v>
      </c>
      <c r="E39" s="26" t="s">
        <v>79</v>
      </c>
      <c r="F39" s="22" t="s">
        <v>80</v>
      </c>
      <c r="G39" s="23">
        <f t="shared" si="0"/>
        <v>0</v>
      </c>
      <c r="H39" s="23">
        <f>SUM(H40:H41)</f>
        <v>0</v>
      </c>
      <c r="I39" s="23">
        <f>SUM(I40:I41)</f>
        <v>0</v>
      </c>
      <c r="J39" s="23">
        <f>SUM(J40:J41)</f>
        <v>0</v>
      </c>
      <c r="K39" s="23">
        <f>SUM(K40:K41)</f>
        <v>0</v>
      </c>
      <c r="L39" s="19"/>
      <c r="M39" s="24"/>
      <c r="P39" s="25"/>
    </row>
    <row r="40" spans="3:16" s="17" customFormat="1" ht="12.75" x14ac:dyDescent="0.2">
      <c r="C40" s="18"/>
      <c r="D40" s="28" t="s">
        <v>81</v>
      </c>
      <c r="E40" s="29"/>
      <c r="F40" s="30" t="s">
        <v>80</v>
      </c>
      <c r="G40" s="31"/>
      <c r="H40" s="31"/>
      <c r="I40" s="31"/>
      <c r="J40" s="31"/>
      <c r="K40" s="31"/>
      <c r="L40" s="19"/>
      <c r="M40" s="24"/>
      <c r="P40" s="25"/>
    </row>
    <row r="41" spans="3:16" s="17" customFormat="1" ht="12.75" x14ac:dyDescent="0.2">
      <c r="C41" s="18"/>
      <c r="D41" s="50"/>
      <c r="E41" s="33" t="s">
        <v>31</v>
      </c>
      <c r="F41" s="34"/>
      <c r="G41" s="34"/>
      <c r="H41" s="34"/>
      <c r="I41" s="34"/>
      <c r="J41" s="34"/>
      <c r="K41" s="35"/>
      <c r="L41" s="19"/>
      <c r="M41" s="24"/>
      <c r="P41" s="25"/>
    </row>
    <row r="42" spans="3:16" s="17" customFormat="1" ht="12.75" x14ac:dyDescent="0.2">
      <c r="C42" s="18"/>
      <c r="D42" s="20" t="s">
        <v>82</v>
      </c>
      <c r="E42" s="51" t="s">
        <v>83</v>
      </c>
      <c r="F42" s="22" t="s">
        <v>84</v>
      </c>
      <c r="G42" s="23">
        <f t="shared" si="0"/>
        <v>0</v>
      </c>
      <c r="H42" s="27"/>
      <c r="I42" s="27"/>
      <c r="J42" s="27"/>
      <c r="K42" s="27"/>
      <c r="L42" s="19"/>
      <c r="M42" s="24"/>
      <c r="P42" s="25">
        <v>120</v>
      </c>
    </row>
    <row r="43" spans="3:16" s="17" customFormat="1" ht="12.75" x14ac:dyDescent="0.2">
      <c r="C43" s="18"/>
      <c r="D43" s="20" t="s">
        <v>85</v>
      </c>
      <c r="E43" s="21" t="s">
        <v>86</v>
      </c>
      <c r="F43" s="22" t="s">
        <v>87</v>
      </c>
      <c r="G43" s="23">
        <f t="shared" si="0"/>
        <v>21459.920000000002</v>
      </c>
      <c r="H43" s="27">
        <f>J28</f>
        <v>10032.202000000001</v>
      </c>
      <c r="I43" s="27"/>
      <c r="J43" s="27">
        <f>K30</f>
        <v>11427.718000000001</v>
      </c>
      <c r="K43" s="27"/>
      <c r="L43" s="19"/>
      <c r="M43" s="24"/>
      <c r="P43" s="25">
        <v>150</v>
      </c>
    </row>
    <row r="44" spans="3:16" s="17" customFormat="1" ht="12.75" x14ac:dyDescent="0.2">
      <c r="C44" s="18"/>
      <c r="D44" s="20" t="s">
        <v>88</v>
      </c>
      <c r="E44" s="21" t="s">
        <v>89</v>
      </c>
      <c r="F44" s="22" t="s">
        <v>90</v>
      </c>
      <c r="G44" s="23">
        <f t="shared" si="0"/>
        <v>0</v>
      </c>
      <c r="H44" s="27"/>
      <c r="I44" s="27"/>
      <c r="J44" s="27"/>
      <c r="K44" s="27"/>
      <c r="L44" s="19"/>
      <c r="M44" s="24"/>
      <c r="P44" s="25">
        <v>160</v>
      </c>
    </row>
    <row r="45" spans="3:16" s="17" customFormat="1" ht="12.75" x14ac:dyDescent="0.2">
      <c r="C45" s="18"/>
      <c r="D45" s="20" t="s">
        <v>91</v>
      </c>
      <c r="E45" s="21" t="s">
        <v>92</v>
      </c>
      <c r="F45" s="22" t="s">
        <v>93</v>
      </c>
      <c r="G45" s="23">
        <f t="shared" si="0"/>
        <v>0</v>
      </c>
      <c r="H45" s="27"/>
      <c r="I45" s="27"/>
      <c r="J45" s="27"/>
      <c r="K45" s="27"/>
      <c r="L45" s="19"/>
      <c r="M45" s="24"/>
      <c r="P45" s="25">
        <v>180</v>
      </c>
    </row>
    <row r="46" spans="3:16" s="17" customFormat="1" ht="12.75" x14ac:dyDescent="0.2">
      <c r="C46" s="18"/>
      <c r="D46" s="20" t="s">
        <v>94</v>
      </c>
      <c r="E46" s="21" t="s">
        <v>95</v>
      </c>
      <c r="F46" s="22" t="s">
        <v>96</v>
      </c>
      <c r="G46" s="23">
        <f t="shared" si="0"/>
        <v>62.14600000000064</v>
      </c>
      <c r="H46" s="27"/>
      <c r="I46" s="27"/>
      <c r="J46" s="27"/>
      <c r="K46" s="27">
        <f>G25-G36</f>
        <v>62.14600000000064</v>
      </c>
      <c r="L46" s="19"/>
      <c r="M46" s="24"/>
      <c r="P46" s="25">
        <v>190</v>
      </c>
    </row>
    <row r="47" spans="3:16" s="17" customFormat="1" ht="12.75" x14ac:dyDescent="0.2">
      <c r="C47" s="18"/>
      <c r="D47" s="20" t="s">
        <v>97</v>
      </c>
      <c r="E47" s="26" t="s">
        <v>98</v>
      </c>
      <c r="F47" s="22" t="s">
        <v>99</v>
      </c>
      <c r="G47" s="23">
        <f t="shared" si="0"/>
        <v>0</v>
      </c>
      <c r="H47" s="27"/>
      <c r="I47" s="27"/>
      <c r="J47" s="27">
        <v>0</v>
      </c>
      <c r="K47" s="27">
        <v>0</v>
      </c>
      <c r="L47" s="19"/>
      <c r="M47" s="24"/>
      <c r="P47" s="25">
        <v>200</v>
      </c>
    </row>
    <row r="48" spans="3:16" s="17" customFormat="1" ht="12.75" x14ac:dyDescent="0.2">
      <c r="C48" s="18"/>
      <c r="D48" s="20" t="s">
        <v>100</v>
      </c>
      <c r="E48" s="21" t="s">
        <v>101</v>
      </c>
      <c r="F48" s="22" t="s">
        <v>102</v>
      </c>
      <c r="G48" s="23">
        <f t="shared" si="0"/>
        <v>123.313</v>
      </c>
      <c r="H48" s="27"/>
      <c r="I48" s="27"/>
      <c r="J48" s="42">
        <f>апрель!J48+май!J48+июнь!J48</f>
        <v>0</v>
      </c>
      <c r="K48" s="42">
        <f>апрель!K48+май!K48+июнь!K48</f>
        <v>123.313</v>
      </c>
      <c r="L48" s="19"/>
      <c r="M48" s="24"/>
      <c r="P48" s="36"/>
    </row>
    <row r="49" spans="3:16" s="17" customFormat="1" ht="22.5" x14ac:dyDescent="0.2">
      <c r="C49" s="18"/>
      <c r="D49" s="20" t="s">
        <v>103</v>
      </c>
      <c r="E49" s="46" t="s">
        <v>104</v>
      </c>
      <c r="F49" s="22" t="s">
        <v>105</v>
      </c>
      <c r="G49" s="23">
        <f t="shared" si="0"/>
        <v>-61.166999999999362</v>
      </c>
      <c r="H49" s="23">
        <f>H46-H48</f>
        <v>0</v>
      </c>
      <c r="I49" s="23">
        <f>I46-I48</f>
        <v>0</v>
      </c>
      <c r="J49" s="23">
        <f>J46-J48</f>
        <v>0</v>
      </c>
      <c r="K49" s="23">
        <f>K46-K48</f>
        <v>-61.166999999999362</v>
      </c>
      <c r="L49" s="19"/>
      <c r="M49" s="24"/>
      <c r="P49" s="36"/>
    </row>
    <row r="50" spans="3:16" s="17" customFormat="1" ht="12.75" x14ac:dyDescent="0.2">
      <c r="C50" s="18"/>
      <c r="D50" s="20" t="s">
        <v>106</v>
      </c>
      <c r="E50" s="21" t="s">
        <v>107</v>
      </c>
      <c r="F50" s="22" t="s">
        <v>108</v>
      </c>
      <c r="G50" s="23">
        <f t="shared" si="0"/>
        <v>0</v>
      </c>
      <c r="H50" s="23">
        <f>(H15+H27+H32)-(H33+H43+H44+H45+H46)</f>
        <v>0</v>
      </c>
      <c r="I50" s="23">
        <f>(I15+I27+I32)-(I33+I43+I44+I45+I46)</f>
        <v>0</v>
      </c>
      <c r="J50" s="23">
        <f>(J15+J27+J32)-(J33+J43+J44+J45+J46)</f>
        <v>0</v>
      </c>
      <c r="K50" s="23">
        <f>(K15+K27+K32)-(K33+K43+K44+K45+K46)</f>
        <v>0</v>
      </c>
      <c r="L50" s="19"/>
      <c r="M50" s="24"/>
      <c r="P50" s="25">
        <v>210</v>
      </c>
    </row>
    <row r="51" spans="3:16" s="17" customFormat="1" ht="12.75" x14ac:dyDescent="0.2">
      <c r="C51" s="18"/>
      <c r="D51" s="87" t="s">
        <v>109</v>
      </c>
      <c r="E51" s="88"/>
      <c r="F51" s="88"/>
      <c r="G51" s="88"/>
      <c r="H51" s="88"/>
      <c r="I51" s="88"/>
      <c r="J51" s="88"/>
      <c r="K51" s="89"/>
      <c r="L51" s="19"/>
      <c r="M51" s="24"/>
      <c r="P51" s="36"/>
    </row>
    <row r="52" spans="3:16" s="17" customFormat="1" ht="12.75" x14ac:dyDescent="0.2">
      <c r="C52" s="18"/>
      <c r="D52" s="20" t="s">
        <v>110</v>
      </c>
      <c r="E52" s="21" t="s">
        <v>24</v>
      </c>
      <c r="F52" s="22" t="s">
        <v>111</v>
      </c>
      <c r="G52" s="23">
        <f t="shared" si="0"/>
        <v>4.3470666666666666</v>
      </c>
      <c r="H52" s="23">
        <f>H53+H54+H57+H60</f>
        <v>1.043296</v>
      </c>
      <c r="I52" s="23">
        <f>I53+I54+I57+I60</f>
        <v>0</v>
      </c>
      <c r="J52" s="23">
        <f>J53+J54+J57+J60</f>
        <v>3.3037706666666664</v>
      </c>
      <c r="K52" s="23">
        <f>K53+K54+K57+K60</f>
        <v>0</v>
      </c>
      <c r="L52" s="19"/>
      <c r="M52" s="24"/>
      <c r="P52" s="25">
        <v>300</v>
      </c>
    </row>
    <row r="53" spans="3:16" s="17" customFormat="1" ht="12.75" x14ac:dyDescent="0.2">
      <c r="C53" s="18"/>
      <c r="D53" s="20" t="s">
        <v>112</v>
      </c>
      <c r="E53" s="26" t="s">
        <v>26</v>
      </c>
      <c r="F53" s="22" t="s">
        <v>113</v>
      </c>
      <c r="G53" s="23">
        <f t="shared" si="0"/>
        <v>0</v>
      </c>
      <c r="H53" s="27"/>
      <c r="I53" s="27"/>
      <c r="J53" s="27"/>
      <c r="K53" s="27"/>
      <c r="L53" s="19"/>
      <c r="M53" s="24"/>
      <c r="P53" s="25">
        <v>310</v>
      </c>
    </row>
    <row r="54" spans="3:16" s="17" customFormat="1" ht="12.75" x14ac:dyDescent="0.2">
      <c r="C54" s="18"/>
      <c r="D54" s="20" t="s">
        <v>114</v>
      </c>
      <c r="E54" s="26" t="s">
        <v>28</v>
      </c>
      <c r="F54" s="22" t="s">
        <v>115</v>
      </c>
      <c r="G54" s="23">
        <f t="shared" si="0"/>
        <v>0</v>
      </c>
      <c r="H54" s="23">
        <f>SUM(H55:H56)</f>
        <v>0</v>
      </c>
      <c r="I54" s="23">
        <f>SUM(I55:I56)</f>
        <v>0</v>
      </c>
      <c r="J54" s="23">
        <f>SUM(J55:J56)</f>
        <v>0</v>
      </c>
      <c r="K54" s="23">
        <f>SUM(K55:K56)</f>
        <v>0</v>
      </c>
      <c r="L54" s="19"/>
      <c r="M54" s="24"/>
      <c r="P54" s="25">
        <v>320</v>
      </c>
    </row>
    <row r="55" spans="3:16" s="17" customFormat="1" ht="12.75" x14ac:dyDescent="0.2">
      <c r="C55" s="18"/>
      <c r="D55" s="28" t="s">
        <v>116</v>
      </c>
      <c r="E55" s="29"/>
      <c r="F55" s="30" t="s">
        <v>115</v>
      </c>
      <c r="G55" s="31"/>
      <c r="H55" s="31"/>
      <c r="I55" s="31"/>
      <c r="J55" s="31"/>
      <c r="K55" s="31"/>
      <c r="L55" s="19"/>
      <c r="M55" s="24"/>
      <c r="P55" s="25"/>
    </row>
    <row r="56" spans="3:16" s="17" customFormat="1" ht="12.75" x14ac:dyDescent="0.2">
      <c r="C56" s="18"/>
      <c r="D56" s="32"/>
      <c r="E56" s="33" t="s">
        <v>31</v>
      </c>
      <c r="F56" s="34"/>
      <c r="G56" s="34"/>
      <c r="H56" s="34"/>
      <c r="I56" s="34"/>
      <c r="J56" s="34"/>
      <c r="K56" s="35"/>
      <c r="L56" s="19"/>
      <c r="M56" s="24"/>
      <c r="P56" s="25"/>
    </row>
    <row r="57" spans="3:16" s="17" customFormat="1" ht="12.75" x14ac:dyDescent="0.2">
      <c r="C57" s="18"/>
      <c r="D57" s="20" t="s">
        <v>117</v>
      </c>
      <c r="E57" s="26" t="s">
        <v>33</v>
      </c>
      <c r="F57" s="22" t="s">
        <v>118</v>
      </c>
      <c r="G57" s="23">
        <f t="shared" si="0"/>
        <v>0</v>
      </c>
      <c r="H57" s="23">
        <f>SUM(H58:H59)</f>
        <v>0</v>
      </c>
      <c r="I57" s="23">
        <f>SUM(I58:I59)</f>
        <v>0</v>
      </c>
      <c r="J57" s="23">
        <f>SUM(J58:J59)</f>
        <v>0</v>
      </c>
      <c r="K57" s="23">
        <f>SUM(K58:K59)</f>
        <v>0</v>
      </c>
      <c r="L57" s="19"/>
      <c r="M57" s="24"/>
      <c r="P57" s="25"/>
    </row>
    <row r="58" spans="3:16" s="17" customFormat="1" ht="12.75" x14ac:dyDescent="0.2">
      <c r="C58" s="18"/>
      <c r="D58" s="28" t="s">
        <v>119</v>
      </c>
      <c r="E58" s="29"/>
      <c r="F58" s="30" t="s">
        <v>118</v>
      </c>
      <c r="G58" s="31"/>
      <c r="H58" s="31"/>
      <c r="I58" s="31"/>
      <c r="J58" s="31"/>
      <c r="K58" s="31"/>
      <c r="L58" s="19"/>
      <c r="M58" s="24"/>
      <c r="P58" s="25"/>
    </row>
    <row r="59" spans="3:16" s="17" customFormat="1" ht="12.75" x14ac:dyDescent="0.2">
      <c r="C59" s="18"/>
      <c r="D59" s="32"/>
      <c r="E59" s="33" t="s">
        <v>31</v>
      </c>
      <c r="F59" s="34"/>
      <c r="G59" s="34"/>
      <c r="H59" s="34"/>
      <c r="I59" s="34"/>
      <c r="J59" s="34"/>
      <c r="K59" s="35"/>
      <c r="L59" s="19"/>
      <c r="M59" s="24"/>
      <c r="P59" s="25"/>
    </row>
    <row r="60" spans="3:16" s="17" customFormat="1" ht="12.75" x14ac:dyDescent="0.2">
      <c r="C60" s="18"/>
      <c r="D60" s="20" t="s">
        <v>120</v>
      </c>
      <c r="E60" s="26" t="s">
        <v>37</v>
      </c>
      <c r="F60" s="22" t="s">
        <v>121</v>
      </c>
      <c r="G60" s="23">
        <f t="shared" si="0"/>
        <v>4.3470666666666666</v>
      </c>
      <c r="H60" s="23">
        <f>SUM(H61:H63)</f>
        <v>1.043296</v>
      </c>
      <c r="I60" s="23">
        <f>SUM(I61:I63)</f>
        <v>0</v>
      </c>
      <c r="J60" s="23">
        <f>SUM(J61:J63)</f>
        <v>3.3037706666666664</v>
      </c>
      <c r="K60" s="23">
        <f>SUM(K61:K63)</f>
        <v>0</v>
      </c>
      <c r="L60" s="19"/>
      <c r="M60" s="24"/>
      <c r="P60" s="25">
        <v>330</v>
      </c>
    </row>
    <row r="61" spans="3:16" s="17" customFormat="1" ht="12.75" x14ac:dyDescent="0.2">
      <c r="C61" s="18"/>
      <c r="D61" s="28" t="s">
        <v>122</v>
      </c>
      <c r="E61" s="29"/>
      <c r="F61" s="30" t="s">
        <v>121</v>
      </c>
      <c r="G61" s="31"/>
      <c r="H61" s="31"/>
      <c r="I61" s="31"/>
      <c r="J61" s="31"/>
      <c r="K61" s="31"/>
      <c r="L61" s="19"/>
      <c r="M61" s="24"/>
      <c r="P61" s="25"/>
    </row>
    <row r="62" spans="3:16" s="17" customFormat="1" ht="15" x14ac:dyDescent="0.25">
      <c r="C62" s="37" t="s">
        <v>40</v>
      </c>
      <c r="D62" s="38" t="s">
        <v>123</v>
      </c>
      <c r="E62" s="39" t="s">
        <v>42</v>
      </c>
      <c r="F62" s="40">
        <v>1461</v>
      </c>
      <c r="G62" s="41">
        <f>SUM(H62:K62)</f>
        <v>4.3470666666666666</v>
      </c>
      <c r="H62" s="42">
        <f>(январь!H62+февраль!H62+март!H62+апрель!H62+май!H62+июнь!H62)/6</f>
        <v>1.043296</v>
      </c>
      <c r="I62" s="52">
        <v>0</v>
      </c>
      <c r="J62" s="42">
        <f>(январь!J62+февраль!J62+март!J62+апрель!J62+май!J62+июнь!J62)/6</f>
        <v>3.3037706666666664</v>
      </c>
      <c r="K62" s="53">
        <v>0</v>
      </c>
      <c r="L62" s="19"/>
      <c r="M62" s="43" t="s">
        <v>43</v>
      </c>
      <c r="N62" s="44" t="s">
        <v>44</v>
      </c>
      <c r="O62" s="44" t="s">
        <v>45</v>
      </c>
    </row>
    <row r="63" spans="3:16" s="17" customFormat="1" ht="12.75" x14ac:dyDescent="0.2">
      <c r="C63" s="18"/>
      <c r="D63" s="32"/>
      <c r="E63" s="33" t="s">
        <v>31</v>
      </c>
      <c r="F63" s="34"/>
      <c r="G63" s="34"/>
      <c r="H63" s="34"/>
      <c r="I63" s="34"/>
      <c r="J63" s="34"/>
      <c r="K63" s="35"/>
      <c r="L63" s="19"/>
      <c r="M63" s="24"/>
      <c r="P63" s="25"/>
    </row>
    <row r="64" spans="3:16" s="17" customFormat="1" ht="12.75" x14ac:dyDescent="0.2">
      <c r="C64" s="18"/>
      <c r="D64" s="20" t="s">
        <v>124</v>
      </c>
      <c r="E64" s="21" t="s">
        <v>47</v>
      </c>
      <c r="F64" s="22" t="s">
        <v>125</v>
      </c>
      <c r="G64" s="23">
        <f t="shared" si="0"/>
        <v>4.3943986666666666</v>
      </c>
      <c r="H64" s="23">
        <f>H66+H67+H68</f>
        <v>0</v>
      </c>
      <c r="I64" s="23">
        <f>I65+I67+I68</f>
        <v>0</v>
      </c>
      <c r="J64" s="23">
        <f>J65+J66+J68</f>
        <v>1.043296</v>
      </c>
      <c r="K64" s="23">
        <f>K65+K66+K67</f>
        <v>3.3511026666666668</v>
      </c>
      <c r="L64" s="19"/>
      <c r="M64" s="24"/>
      <c r="P64" s="25">
        <v>340</v>
      </c>
    </row>
    <row r="65" spans="3:16" s="17" customFormat="1" ht="12.75" x14ac:dyDescent="0.2">
      <c r="C65" s="18"/>
      <c r="D65" s="20" t="s">
        <v>126</v>
      </c>
      <c r="E65" s="26" t="s">
        <v>18</v>
      </c>
      <c r="F65" s="22" t="s">
        <v>127</v>
      </c>
      <c r="G65" s="23">
        <f t="shared" si="0"/>
        <v>1.043296</v>
      </c>
      <c r="H65" s="45"/>
      <c r="I65" s="27"/>
      <c r="J65" s="27">
        <f>H62</f>
        <v>1.043296</v>
      </c>
      <c r="K65" s="27"/>
      <c r="L65" s="19"/>
      <c r="M65" s="24"/>
      <c r="P65" s="25">
        <v>350</v>
      </c>
    </row>
    <row r="66" spans="3:16" s="17" customFormat="1" ht="12.75" x14ac:dyDescent="0.2">
      <c r="C66" s="18"/>
      <c r="D66" s="20" t="s">
        <v>128</v>
      </c>
      <c r="E66" s="26" t="s">
        <v>19</v>
      </c>
      <c r="F66" s="22" t="s">
        <v>129</v>
      </c>
      <c r="G66" s="23">
        <f t="shared" si="0"/>
        <v>0</v>
      </c>
      <c r="H66" s="27"/>
      <c r="I66" s="54"/>
      <c r="J66" s="27"/>
      <c r="K66" s="27"/>
      <c r="L66" s="19"/>
      <c r="M66" s="24"/>
      <c r="P66" s="25">
        <v>360</v>
      </c>
    </row>
    <row r="67" spans="3:16" s="17" customFormat="1" ht="12.75" x14ac:dyDescent="0.2">
      <c r="C67" s="18"/>
      <c r="D67" s="20" t="s">
        <v>130</v>
      </c>
      <c r="E67" s="26" t="s">
        <v>20</v>
      </c>
      <c r="F67" s="22" t="s">
        <v>131</v>
      </c>
      <c r="G67" s="23">
        <f t="shared" si="0"/>
        <v>3.3511026666666668</v>
      </c>
      <c r="H67" s="27"/>
      <c r="I67" s="27"/>
      <c r="J67" s="45"/>
      <c r="K67" s="27">
        <f>K73+K83</f>
        <v>3.3511026666666668</v>
      </c>
      <c r="L67" s="19"/>
      <c r="M67" s="24"/>
      <c r="P67" s="25">
        <v>370</v>
      </c>
    </row>
    <row r="68" spans="3:16" s="17" customFormat="1" ht="12.75" x14ac:dyDescent="0.2">
      <c r="C68" s="18"/>
      <c r="D68" s="20" t="s">
        <v>132</v>
      </c>
      <c r="E68" s="26" t="s">
        <v>56</v>
      </c>
      <c r="F68" s="22" t="s">
        <v>133</v>
      </c>
      <c r="G68" s="23">
        <f t="shared" si="0"/>
        <v>0</v>
      </c>
      <c r="H68" s="27"/>
      <c r="I68" s="27"/>
      <c r="J68" s="27"/>
      <c r="K68" s="45"/>
      <c r="L68" s="19"/>
      <c r="M68" s="24"/>
      <c r="P68" s="25">
        <v>380</v>
      </c>
    </row>
    <row r="69" spans="3:16" s="17" customFormat="1" ht="12.75" x14ac:dyDescent="0.2">
      <c r="C69" s="18"/>
      <c r="D69" s="20" t="s">
        <v>134</v>
      </c>
      <c r="E69" s="46" t="s">
        <v>59</v>
      </c>
      <c r="F69" s="22" t="s">
        <v>135</v>
      </c>
      <c r="G69" s="23">
        <f t="shared" si="0"/>
        <v>0</v>
      </c>
      <c r="H69" s="27"/>
      <c r="I69" s="27"/>
      <c r="J69" s="27"/>
      <c r="K69" s="27"/>
      <c r="L69" s="19"/>
      <c r="M69" s="24"/>
      <c r="P69" s="25"/>
    </row>
    <row r="70" spans="3:16" s="17" customFormat="1" ht="12.75" x14ac:dyDescent="0.2">
      <c r="C70" s="18"/>
      <c r="D70" s="20" t="s">
        <v>136</v>
      </c>
      <c r="E70" s="21" t="s">
        <v>62</v>
      </c>
      <c r="F70" s="47" t="s">
        <v>137</v>
      </c>
      <c r="G70" s="23">
        <f t="shared" si="0"/>
        <v>4.1498499999999998</v>
      </c>
      <c r="H70" s="23">
        <f>H71+H73+H76+H79</f>
        <v>0</v>
      </c>
      <c r="I70" s="23">
        <f>I71+I73+I76+I79</f>
        <v>0</v>
      </c>
      <c r="J70" s="23">
        <f>J71+J73+J76+J79</f>
        <v>0.99596400000000018</v>
      </c>
      <c r="K70" s="23">
        <f>K71+K73+K76+K79</f>
        <v>3.153886</v>
      </c>
      <c r="L70" s="19"/>
      <c r="M70" s="24"/>
      <c r="P70" s="25">
        <v>390</v>
      </c>
    </row>
    <row r="71" spans="3:16" s="17" customFormat="1" ht="22.5" x14ac:dyDescent="0.2">
      <c r="C71" s="18"/>
      <c r="D71" s="20" t="s">
        <v>138</v>
      </c>
      <c r="E71" s="26" t="s">
        <v>65</v>
      </c>
      <c r="F71" s="22" t="s">
        <v>139</v>
      </c>
      <c r="G71" s="23">
        <f t="shared" si="0"/>
        <v>0</v>
      </c>
      <c r="H71" s="27"/>
      <c r="I71" s="27"/>
      <c r="J71" s="27"/>
      <c r="K71" s="27"/>
      <c r="L71" s="19"/>
      <c r="M71" s="24"/>
      <c r="P71" s="25"/>
    </row>
    <row r="72" spans="3:16" s="17" customFormat="1" ht="12.75" x14ac:dyDescent="0.2">
      <c r="C72" s="18"/>
      <c r="D72" s="20" t="s">
        <v>140</v>
      </c>
      <c r="E72" s="48" t="s">
        <v>68</v>
      </c>
      <c r="F72" s="22" t="s">
        <v>141</v>
      </c>
      <c r="G72" s="23">
        <f t="shared" si="0"/>
        <v>0</v>
      </c>
      <c r="H72" s="27"/>
      <c r="I72" s="27"/>
      <c r="J72" s="27"/>
      <c r="K72" s="27"/>
      <c r="L72" s="19"/>
      <c r="M72" s="24"/>
      <c r="P72" s="25"/>
    </row>
    <row r="73" spans="3:16" s="17" customFormat="1" ht="12.75" x14ac:dyDescent="0.2">
      <c r="C73" s="18"/>
      <c r="D73" s="20" t="s">
        <v>142</v>
      </c>
      <c r="E73" s="26" t="s">
        <v>71</v>
      </c>
      <c r="F73" s="22" t="s">
        <v>143</v>
      </c>
      <c r="G73" s="23">
        <f t="shared" si="0"/>
        <v>4.1498499999999998</v>
      </c>
      <c r="H73" s="27">
        <v>0</v>
      </c>
      <c r="I73" s="27">
        <v>0</v>
      </c>
      <c r="J73" s="42">
        <f>(январь!J73+февраль!J73+март!J73+апрель!J73+май!J73+июнь!J73)/6</f>
        <v>0.99596400000000018</v>
      </c>
      <c r="K73" s="42">
        <f>(январь!K73+февраль!K73+март!K73+апрель!K73+май!K73+июнь!K73)/6</f>
        <v>3.153886</v>
      </c>
      <c r="L73" s="19"/>
      <c r="M73" s="24"/>
      <c r="P73" s="25"/>
    </row>
    <row r="74" spans="3:16" s="17" customFormat="1" ht="12.75" x14ac:dyDescent="0.2">
      <c r="C74" s="18"/>
      <c r="D74" s="20" t="s">
        <v>144</v>
      </c>
      <c r="E74" s="48" t="s">
        <v>74</v>
      </c>
      <c r="F74" s="22" t="s">
        <v>145</v>
      </c>
      <c r="G74" s="23">
        <f t="shared" si="0"/>
        <v>0</v>
      </c>
      <c r="H74" s="27"/>
      <c r="I74" s="27"/>
      <c r="J74" s="27"/>
      <c r="K74" s="27"/>
      <c r="L74" s="19"/>
      <c r="M74" s="24"/>
      <c r="P74" s="25"/>
    </row>
    <row r="75" spans="3:16" s="17" customFormat="1" ht="12.75" x14ac:dyDescent="0.2">
      <c r="C75" s="18"/>
      <c r="D75" s="20" t="s">
        <v>146</v>
      </c>
      <c r="E75" s="49" t="s">
        <v>68</v>
      </c>
      <c r="F75" s="22" t="s">
        <v>147</v>
      </c>
      <c r="G75" s="23">
        <f t="shared" si="0"/>
        <v>0</v>
      </c>
      <c r="H75" s="27"/>
      <c r="I75" s="27"/>
      <c r="J75" s="27"/>
      <c r="K75" s="27"/>
      <c r="L75" s="19"/>
      <c r="M75" s="24"/>
      <c r="P75" s="25"/>
    </row>
    <row r="76" spans="3:16" s="17" customFormat="1" ht="12.75" x14ac:dyDescent="0.2">
      <c r="C76" s="18"/>
      <c r="D76" s="20" t="s">
        <v>148</v>
      </c>
      <c r="E76" s="26" t="s">
        <v>79</v>
      </c>
      <c r="F76" s="22" t="s">
        <v>149</v>
      </c>
      <c r="G76" s="23">
        <f t="shared" si="0"/>
        <v>0</v>
      </c>
      <c r="H76" s="23">
        <f>SUM(H77:H78)</f>
        <v>0</v>
      </c>
      <c r="I76" s="23">
        <f>SUM(I77:I78)</f>
        <v>0</v>
      </c>
      <c r="J76" s="23">
        <f>SUM(J77:J78)</f>
        <v>0</v>
      </c>
      <c r="K76" s="23">
        <f>SUM(K77:K78)</f>
        <v>0</v>
      </c>
      <c r="L76" s="19"/>
      <c r="M76" s="24"/>
      <c r="P76" s="25"/>
    </row>
    <row r="77" spans="3:16" s="17" customFormat="1" ht="12.75" x14ac:dyDescent="0.2">
      <c r="C77" s="18"/>
      <c r="D77" s="28" t="s">
        <v>150</v>
      </c>
      <c r="E77" s="29"/>
      <c r="F77" s="30" t="s">
        <v>149</v>
      </c>
      <c r="G77" s="31"/>
      <c r="H77" s="31"/>
      <c r="I77" s="31"/>
      <c r="J77" s="31"/>
      <c r="K77" s="31"/>
      <c r="L77" s="19"/>
      <c r="M77" s="24"/>
      <c r="P77" s="25"/>
    </row>
    <row r="78" spans="3:16" s="17" customFormat="1" ht="12.75" x14ac:dyDescent="0.2">
      <c r="C78" s="18"/>
      <c r="D78" s="32"/>
      <c r="E78" s="33" t="s">
        <v>31</v>
      </c>
      <c r="F78" s="34"/>
      <c r="G78" s="34"/>
      <c r="H78" s="34"/>
      <c r="I78" s="34"/>
      <c r="J78" s="34"/>
      <c r="K78" s="35"/>
      <c r="L78" s="19"/>
      <c r="M78" s="24"/>
      <c r="P78" s="25"/>
    </row>
    <row r="79" spans="3:16" s="17" customFormat="1" ht="12.75" x14ac:dyDescent="0.2">
      <c r="C79" s="18"/>
      <c r="D79" s="20" t="s">
        <v>151</v>
      </c>
      <c r="E79" s="51" t="s">
        <v>83</v>
      </c>
      <c r="F79" s="22" t="s">
        <v>152</v>
      </c>
      <c r="G79" s="23">
        <f t="shared" si="0"/>
        <v>0</v>
      </c>
      <c r="H79" s="27"/>
      <c r="I79" s="27"/>
      <c r="J79" s="27"/>
      <c r="K79" s="27"/>
      <c r="L79" s="19"/>
      <c r="M79" s="24"/>
      <c r="P79" s="25">
        <v>410</v>
      </c>
    </row>
    <row r="80" spans="3:16" s="17" customFormat="1" ht="12.75" x14ac:dyDescent="0.2">
      <c r="C80" s="18"/>
      <c r="D80" s="20" t="s">
        <v>153</v>
      </c>
      <c r="E80" s="21" t="s">
        <v>86</v>
      </c>
      <c r="F80" s="22" t="s">
        <v>154</v>
      </c>
      <c r="G80" s="23">
        <f t="shared" si="0"/>
        <v>4.3943986666666666</v>
      </c>
      <c r="H80" s="27">
        <f>H62</f>
        <v>1.043296</v>
      </c>
      <c r="I80" s="27"/>
      <c r="J80" s="27">
        <f>K67</f>
        <v>3.3511026666666668</v>
      </c>
      <c r="K80" s="27"/>
      <c r="L80" s="19"/>
      <c r="M80" s="24"/>
      <c r="P80" s="25">
        <v>440</v>
      </c>
    </row>
    <row r="81" spans="3:16" s="17" customFormat="1" ht="12.75" x14ac:dyDescent="0.2">
      <c r="C81" s="18"/>
      <c r="D81" s="20" t="s">
        <v>155</v>
      </c>
      <c r="E81" s="21" t="s">
        <v>89</v>
      </c>
      <c r="F81" s="22" t="s">
        <v>156</v>
      </c>
      <c r="G81" s="23">
        <f t="shared" si="0"/>
        <v>0</v>
      </c>
      <c r="H81" s="27"/>
      <c r="I81" s="27"/>
      <c r="J81" s="27"/>
      <c r="K81" s="27"/>
      <c r="L81" s="19"/>
      <c r="M81" s="24"/>
      <c r="P81" s="25">
        <v>450</v>
      </c>
    </row>
    <row r="82" spans="3:16" s="17" customFormat="1" ht="12.75" x14ac:dyDescent="0.2">
      <c r="C82" s="18"/>
      <c r="D82" s="20" t="s">
        <v>157</v>
      </c>
      <c r="E82" s="21" t="s">
        <v>92</v>
      </c>
      <c r="F82" s="22" t="s">
        <v>158</v>
      </c>
      <c r="G82" s="23">
        <f t="shared" si="0"/>
        <v>0</v>
      </c>
      <c r="H82" s="27"/>
      <c r="I82" s="27"/>
      <c r="J82" s="27"/>
      <c r="K82" s="27"/>
      <c r="L82" s="19"/>
      <c r="M82" s="24"/>
      <c r="P82" s="25">
        <v>470</v>
      </c>
    </row>
    <row r="83" spans="3:16" s="17" customFormat="1" ht="12.75" x14ac:dyDescent="0.2">
      <c r="C83" s="18"/>
      <c r="D83" s="20" t="s">
        <v>159</v>
      </c>
      <c r="E83" s="21" t="s">
        <v>95</v>
      </c>
      <c r="F83" s="22" t="s">
        <v>160</v>
      </c>
      <c r="G83" s="23">
        <f t="shared" si="0"/>
        <v>0.19721666666666682</v>
      </c>
      <c r="H83" s="27"/>
      <c r="I83" s="27"/>
      <c r="J83" s="27"/>
      <c r="K83" s="27">
        <f>G62-G73</f>
        <v>0.19721666666666682</v>
      </c>
      <c r="L83" s="19"/>
      <c r="M83" s="24"/>
      <c r="P83" s="25">
        <v>480</v>
      </c>
    </row>
    <row r="84" spans="3:16" s="17" customFormat="1" ht="12.75" x14ac:dyDescent="0.2">
      <c r="C84" s="18"/>
      <c r="D84" s="20" t="s">
        <v>161</v>
      </c>
      <c r="E84" s="26" t="s">
        <v>162</v>
      </c>
      <c r="F84" s="22" t="s">
        <v>163</v>
      </c>
      <c r="G84" s="23">
        <f t="shared" si="0"/>
        <v>0</v>
      </c>
      <c r="H84" s="27"/>
      <c r="I84" s="27"/>
      <c r="J84" s="27"/>
      <c r="K84" s="27"/>
      <c r="L84" s="19"/>
      <c r="M84" s="24"/>
      <c r="P84" s="25">
        <v>490</v>
      </c>
    </row>
    <row r="85" spans="3:16" s="17" customFormat="1" ht="12.75" x14ac:dyDescent="0.2">
      <c r="C85" s="18"/>
      <c r="D85" s="20" t="s">
        <v>164</v>
      </c>
      <c r="E85" s="21" t="s">
        <v>101</v>
      </c>
      <c r="F85" s="22" t="s">
        <v>165</v>
      </c>
      <c r="G85" s="23">
        <f t="shared" si="0"/>
        <v>0.16654999999999998</v>
      </c>
      <c r="H85" s="27"/>
      <c r="I85" s="27"/>
      <c r="J85" s="42">
        <f>(январь!J85+февраль!J85+март!J85+апрель!J85+май!J85+июнь!J85)/6</f>
        <v>0</v>
      </c>
      <c r="K85" s="42">
        <f>(январь!K85+февраль!K85+март!K85+апрель!K85+май!K85+июнь!K85)/6</f>
        <v>0.16654999999999998</v>
      </c>
      <c r="L85" s="19"/>
      <c r="M85" s="24"/>
      <c r="P85" s="25"/>
    </row>
    <row r="86" spans="3:16" s="17" customFormat="1" ht="22.5" x14ac:dyDescent="0.2">
      <c r="C86" s="18"/>
      <c r="D86" s="20" t="s">
        <v>166</v>
      </c>
      <c r="E86" s="46" t="s">
        <v>104</v>
      </c>
      <c r="F86" s="22" t="s">
        <v>167</v>
      </c>
      <c r="G86" s="23">
        <f t="shared" si="0"/>
        <v>3.0666666666666842E-2</v>
      </c>
      <c r="H86" s="23">
        <f>H83-H85</f>
        <v>0</v>
      </c>
      <c r="I86" s="23">
        <f>I83-I85</f>
        <v>0</v>
      </c>
      <c r="J86" s="23">
        <f>J83-J85</f>
        <v>0</v>
      </c>
      <c r="K86" s="23">
        <f>K83-K85</f>
        <v>3.0666666666666842E-2</v>
      </c>
      <c r="L86" s="19"/>
      <c r="M86" s="24"/>
      <c r="P86" s="25"/>
    </row>
    <row r="87" spans="3:16" s="17" customFormat="1" ht="12.75" x14ac:dyDescent="0.2">
      <c r="C87" s="18"/>
      <c r="D87" s="20" t="s">
        <v>168</v>
      </c>
      <c r="E87" s="21" t="s">
        <v>107</v>
      </c>
      <c r="F87" s="22" t="s">
        <v>169</v>
      </c>
      <c r="G87" s="23">
        <f t="shared" si="0"/>
        <v>0</v>
      </c>
      <c r="H87" s="23">
        <f>(H52+H64+H69)-(H70+H80+H81+H82+H83)</f>
        <v>0</v>
      </c>
      <c r="I87" s="23">
        <f>(I52+I64+I69)-(I70+I80+I81+I82+I83)</f>
        <v>0</v>
      </c>
      <c r="J87" s="23">
        <f>(J52+J64+J69)-(J70+J80+J81+J82+J83)</f>
        <v>0</v>
      </c>
      <c r="K87" s="23">
        <f>(K52+K64+K69)-(K70+K80+K81+K82+K83)</f>
        <v>0</v>
      </c>
      <c r="L87" s="19"/>
      <c r="M87" s="24"/>
      <c r="P87" s="25">
        <v>500</v>
      </c>
    </row>
    <row r="88" spans="3:16" s="17" customFormat="1" ht="12.75" x14ac:dyDescent="0.2">
      <c r="C88" s="18"/>
      <c r="D88" s="87" t="s">
        <v>170</v>
      </c>
      <c r="E88" s="88"/>
      <c r="F88" s="88"/>
      <c r="G88" s="88"/>
      <c r="H88" s="88"/>
      <c r="I88" s="88"/>
      <c r="J88" s="88"/>
      <c r="K88" s="89"/>
      <c r="L88" s="19"/>
      <c r="M88" s="24"/>
      <c r="P88" s="36"/>
    </row>
    <row r="89" spans="3:16" s="17" customFormat="1" ht="12.75" x14ac:dyDescent="0.2">
      <c r="C89" s="18"/>
      <c r="D89" s="20" t="s">
        <v>171</v>
      </c>
      <c r="E89" s="21" t="s">
        <v>172</v>
      </c>
      <c r="F89" s="22" t="s">
        <v>173</v>
      </c>
      <c r="G89" s="23">
        <f t="shared" si="0"/>
        <v>4.1498499999999998</v>
      </c>
      <c r="H89" s="27"/>
      <c r="I89" s="27"/>
      <c r="J89" s="42">
        <f>J73</f>
        <v>0.99596400000000018</v>
      </c>
      <c r="K89" s="42">
        <f>K73</f>
        <v>3.153886</v>
      </c>
      <c r="L89" s="19"/>
      <c r="M89" s="24"/>
      <c r="P89" s="25">
        <v>600</v>
      </c>
    </row>
    <row r="90" spans="3:16" s="17" customFormat="1" ht="12.75" x14ac:dyDescent="0.2">
      <c r="C90" s="18"/>
      <c r="D90" s="20" t="s">
        <v>174</v>
      </c>
      <c r="E90" s="21" t="s">
        <v>175</v>
      </c>
      <c r="F90" s="22" t="s">
        <v>176</v>
      </c>
      <c r="G90" s="23">
        <f t="shared" si="0"/>
        <v>0</v>
      </c>
      <c r="H90" s="27"/>
      <c r="I90" s="27"/>
      <c r="J90" s="27"/>
      <c r="K90" s="27"/>
      <c r="L90" s="19"/>
      <c r="M90" s="24"/>
      <c r="P90" s="25">
        <v>610</v>
      </c>
    </row>
    <row r="91" spans="3:16" s="17" customFormat="1" ht="12.75" x14ac:dyDescent="0.2">
      <c r="C91" s="18"/>
      <c r="D91" s="20" t="s">
        <v>177</v>
      </c>
      <c r="E91" s="21" t="s">
        <v>178</v>
      </c>
      <c r="F91" s="22" t="s">
        <v>179</v>
      </c>
      <c r="G91" s="23">
        <f t="shared" si="0"/>
        <v>0</v>
      </c>
      <c r="H91" s="27"/>
      <c r="I91" s="27"/>
      <c r="J91" s="27"/>
      <c r="K91" s="27"/>
      <c r="L91" s="19"/>
      <c r="M91" s="24"/>
      <c r="P91" s="25">
        <v>620</v>
      </c>
    </row>
    <row r="92" spans="3:16" s="17" customFormat="1" ht="12.75" x14ac:dyDescent="0.2">
      <c r="C92" s="18"/>
      <c r="D92" s="87" t="s">
        <v>180</v>
      </c>
      <c r="E92" s="88"/>
      <c r="F92" s="88"/>
      <c r="G92" s="88"/>
      <c r="H92" s="88"/>
      <c r="I92" s="88"/>
      <c r="J92" s="88"/>
      <c r="K92" s="89"/>
      <c r="L92" s="19"/>
      <c r="M92" s="24"/>
      <c r="P92" s="36"/>
    </row>
    <row r="93" spans="3:16" s="17" customFormat="1" ht="12.75" x14ac:dyDescent="0.2">
      <c r="C93" s="18"/>
      <c r="D93" s="20" t="s">
        <v>181</v>
      </c>
      <c r="E93" s="21" t="s">
        <v>182</v>
      </c>
      <c r="F93" s="22" t="s">
        <v>183</v>
      </c>
      <c r="G93" s="23">
        <f t="shared" si="0"/>
        <v>0</v>
      </c>
      <c r="H93" s="23">
        <f>SUM(H94:H95)</f>
        <v>0</v>
      </c>
      <c r="I93" s="23">
        <f>SUM(I94:I95)</f>
        <v>0</v>
      </c>
      <c r="J93" s="23">
        <f>SUM(J94:J95)</f>
        <v>0</v>
      </c>
      <c r="K93" s="23">
        <f>SUM(K94:K95)</f>
        <v>0</v>
      </c>
      <c r="L93" s="19"/>
      <c r="M93" s="24"/>
      <c r="P93" s="25">
        <v>700</v>
      </c>
    </row>
    <row r="94" spans="3:16" ht="12.75" x14ac:dyDescent="0.2">
      <c r="C94" s="6"/>
      <c r="D94" s="55" t="s">
        <v>184</v>
      </c>
      <c r="E94" s="26" t="s">
        <v>185</v>
      </c>
      <c r="F94" s="22" t="s">
        <v>186</v>
      </c>
      <c r="G94" s="23">
        <f t="shared" si="0"/>
        <v>0</v>
      </c>
      <c r="H94" s="56"/>
      <c r="I94" s="56"/>
      <c r="J94" s="56"/>
      <c r="K94" s="56"/>
      <c r="L94" s="13"/>
      <c r="M94" s="24"/>
      <c r="P94" s="25">
        <v>710</v>
      </c>
    </row>
    <row r="95" spans="3:16" ht="12.75" x14ac:dyDescent="0.2">
      <c r="C95" s="6"/>
      <c r="D95" s="55" t="s">
        <v>187</v>
      </c>
      <c r="E95" s="26" t="s">
        <v>188</v>
      </c>
      <c r="F95" s="22" t="s">
        <v>189</v>
      </c>
      <c r="G95" s="23">
        <f t="shared" si="0"/>
        <v>0</v>
      </c>
      <c r="H95" s="57">
        <f>H98</f>
        <v>0</v>
      </c>
      <c r="I95" s="57">
        <f>I98</f>
        <v>0</v>
      </c>
      <c r="J95" s="57">
        <f>J98</f>
        <v>0</v>
      </c>
      <c r="K95" s="57">
        <f>K98</f>
        <v>0</v>
      </c>
      <c r="L95" s="13"/>
      <c r="M95" s="24"/>
      <c r="P95" s="25">
        <v>720</v>
      </c>
    </row>
    <row r="96" spans="3:16" ht="12.75" x14ac:dyDescent="0.2">
      <c r="C96" s="6"/>
      <c r="D96" s="55" t="s">
        <v>190</v>
      </c>
      <c r="E96" s="48" t="s">
        <v>191</v>
      </c>
      <c r="F96" s="22" t="s">
        <v>192</v>
      </c>
      <c r="G96" s="23">
        <f t="shared" si="0"/>
        <v>0</v>
      </c>
      <c r="H96" s="56"/>
      <c r="I96" s="56"/>
      <c r="J96" s="56"/>
      <c r="K96" s="56"/>
      <c r="L96" s="13"/>
      <c r="M96" s="24"/>
      <c r="P96" s="25">
        <v>730</v>
      </c>
    </row>
    <row r="97" spans="3:16" ht="12.75" x14ac:dyDescent="0.2">
      <c r="C97" s="6"/>
      <c r="D97" s="55" t="s">
        <v>193</v>
      </c>
      <c r="E97" s="49" t="s">
        <v>194</v>
      </c>
      <c r="F97" s="22" t="s">
        <v>195</v>
      </c>
      <c r="G97" s="23">
        <f t="shared" si="0"/>
        <v>0</v>
      </c>
      <c r="H97" s="56"/>
      <c r="I97" s="56"/>
      <c r="J97" s="56"/>
      <c r="K97" s="56"/>
      <c r="L97" s="13"/>
      <c r="M97" s="24"/>
      <c r="P97" s="25"/>
    </row>
    <row r="98" spans="3:16" ht="12.75" x14ac:dyDescent="0.2">
      <c r="C98" s="6"/>
      <c r="D98" s="55" t="s">
        <v>196</v>
      </c>
      <c r="E98" s="48" t="s">
        <v>197</v>
      </c>
      <c r="F98" s="22" t="s">
        <v>198</v>
      </c>
      <c r="G98" s="23">
        <f t="shared" si="0"/>
        <v>0</v>
      </c>
      <c r="H98" s="56"/>
      <c r="I98" s="56"/>
      <c r="J98" s="56"/>
      <c r="K98" s="56"/>
      <c r="L98" s="13"/>
      <c r="M98" s="24"/>
      <c r="P98" s="25">
        <v>740</v>
      </c>
    </row>
    <row r="99" spans="3:16" ht="12.75" x14ac:dyDescent="0.2">
      <c r="C99" s="6"/>
      <c r="D99" s="55" t="s">
        <v>199</v>
      </c>
      <c r="E99" s="21" t="s">
        <v>200</v>
      </c>
      <c r="F99" s="22" t="s">
        <v>201</v>
      </c>
      <c r="G99" s="23">
        <f t="shared" si="0"/>
        <v>0</v>
      </c>
      <c r="H99" s="57">
        <f>H100+H116</f>
        <v>0</v>
      </c>
      <c r="I99" s="57">
        <f>I100+I116</f>
        <v>0</v>
      </c>
      <c r="J99" s="57">
        <f>J100+J116</f>
        <v>0</v>
      </c>
      <c r="K99" s="57">
        <f>K100+K116</f>
        <v>0</v>
      </c>
      <c r="L99" s="13"/>
      <c r="M99" s="24"/>
      <c r="P99" s="25">
        <v>750</v>
      </c>
    </row>
    <row r="100" spans="3:16" ht="12.75" x14ac:dyDescent="0.2">
      <c r="C100" s="6"/>
      <c r="D100" s="55" t="s">
        <v>202</v>
      </c>
      <c r="E100" s="26" t="s">
        <v>203</v>
      </c>
      <c r="F100" s="22" t="s">
        <v>204</v>
      </c>
      <c r="G100" s="23">
        <f t="shared" si="0"/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57">
        <f>K101+K102</f>
        <v>0</v>
      </c>
      <c r="L100" s="13"/>
      <c r="M100" s="24"/>
      <c r="P100" s="25">
        <v>760</v>
      </c>
    </row>
    <row r="101" spans="3:16" ht="12.75" x14ac:dyDescent="0.2">
      <c r="C101" s="6"/>
      <c r="D101" s="55" t="s">
        <v>205</v>
      </c>
      <c r="E101" s="48" t="s">
        <v>206</v>
      </c>
      <c r="F101" s="22" t="s">
        <v>207</v>
      </c>
      <c r="G101" s="23">
        <f t="shared" si="0"/>
        <v>0</v>
      </c>
      <c r="H101" s="56"/>
      <c r="I101" s="56"/>
      <c r="J101" s="56"/>
      <c r="K101" s="56"/>
      <c r="L101" s="13"/>
      <c r="M101" s="24"/>
      <c r="P101" s="25"/>
    </row>
    <row r="102" spans="3:16" ht="12.75" x14ac:dyDescent="0.2">
      <c r="C102" s="6"/>
      <c r="D102" s="55" t="s">
        <v>208</v>
      </c>
      <c r="E102" s="48" t="s">
        <v>209</v>
      </c>
      <c r="F102" s="22" t="s">
        <v>210</v>
      </c>
      <c r="G102" s="23">
        <f t="shared" si="0"/>
        <v>0</v>
      </c>
      <c r="H102" s="57">
        <f>H103+H106+H109+H112+H113+H114+H115</f>
        <v>0</v>
      </c>
      <c r="I102" s="57">
        <f>I103+I106+I109+I112+I113+I114+I115</f>
        <v>0</v>
      </c>
      <c r="J102" s="57">
        <f>J103+J106+J109+J112+J113+J114+J115</f>
        <v>0</v>
      </c>
      <c r="K102" s="57">
        <f>K103+K106+K109+K112+K113+K114+K115</f>
        <v>0</v>
      </c>
      <c r="L102" s="13"/>
      <c r="M102" s="24"/>
      <c r="P102" s="25"/>
    </row>
    <row r="103" spans="3:16" ht="33.75" x14ac:dyDescent="0.2">
      <c r="C103" s="6"/>
      <c r="D103" s="55" t="s">
        <v>211</v>
      </c>
      <c r="E103" s="49" t="s">
        <v>212</v>
      </c>
      <c r="F103" s="22" t="s">
        <v>213</v>
      </c>
      <c r="G103" s="23">
        <f t="shared" si="0"/>
        <v>0</v>
      </c>
      <c r="H103" s="58">
        <f>H104+H105</f>
        <v>0</v>
      </c>
      <c r="I103" s="58">
        <f>I104+I105</f>
        <v>0</v>
      </c>
      <c r="J103" s="58">
        <f>J104+J105</f>
        <v>0</v>
      </c>
      <c r="K103" s="58">
        <f>K104+K105</f>
        <v>0</v>
      </c>
      <c r="L103" s="13"/>
      <c r="M103" s="24"/>
      <c r="P103" s="25"/>
    </row>
    <row r="104" spans="3:16" ht="12.75" x14ac:dyDescent="0.2">
      <c r="C104" s="6"/>
      <c r="D104" s="55" t="s">
        <v>214</v>
      </c>
      <c r="E104" s="59" t="s">
        <v>215</v>
      </c>
      <c r="F104" s="22" t="s">
        <v>216</v>
      </c>
      <c r="G104" s="23">
        <f t="shared" si="0"/>
        <v>0</v>
      </c>
      <c r="H104" s="56"/>
      <c r="I104" s="56"/>
      <c r="J104" s="56"/>
      <c r="K104" s="56"/>
      <c r="L104" s="13"/>
      <c r="M104" s="24"/>
      <c r="P104" s="25"/>
    </row>
    <row r="105" spans="3:16" ht="12.75" x14ac:dyDescent="0.2">
      <c r="C105" s="6"/>
      <c r="D105" s="55" t="s">
        <v>217</v>
      </c>
      <c r="E105" s="59" t="s">
        <v>218</v>
      </c>
      <c r="F105" s="22" t="s">
        <v>219</v>
      </c>
      <c r="G105" s="23">
        <f t="shared" si="0"/>
        <v>0</v>
      </c>
      <c r="H105" s="56"/>
      <c r="I105" s="56"/>
      <c r="J105" s="56"/>
      <c r="K105" s="56"/>
      <c r="L105" s="13"/>
      <c r="M105" s="24"/>
      <c r="P105" s="25"/>
    </row>
    <row r="106" spans="3:16" ht="33.75" x14ac:dyDescent="0.2">
      <c r="C106" s="6"/>
      <c r="D106" s="55" t="s">
        <v>220</v>
      </c>
      <c r="E106" s="49" t="s">
        <v>221</v>
      </c>
      <c r="F106" s="22" t="s">
        <v>222</v>
      </c>
      <c r="G106" s="23">
        <f t="shared" si="0"/>
        <v>0</v>
      </c>
      <c r="H106" s="58">
        <f>H107+H108</f>
        <v>0</v>
      </c>
      <c r="I106" s="58">
        <f>I107+I108</f>
        <v>0</v>
      </c>
      <c r="J106" s="58">
        <f>J107+J108</f>
        <v>0</v>
      </c>
      <c r="K106" s="58">
        <f>K107+K108</f>
        <v>0</v>
      </c>
      <c r="L106" s="13"/>
      <c r="M106" s="24"/>
      <c r="P106" s="25"/>
    </row>
    <row r="107" spans="3:16" ht="12.75" x14ac:dyDescent="0.2">
      <c r="C107" s="6"/>
      <c r="D107" s="55" t="s">
        <v>223</v>
      </c>
      <c r="E107" s="59" t="s">
        <v>215</v>
      </c>
      <c r="F107" s="22" t="s">
        <v>224</v>
      </c>
      <c r="G107" s="23">
        <f t="shared" si="0"/>
        <v>0</v>
      </c>
      <c r="H107" s="56"/>
      <c r="I107" s="56"/>
      <c r="J107" s="56"/>
      <c r="K107" s="56"/>
      <c r="L107" s="13"/>
      <c r="M107" s="24"/>
      <c r="P107" s="25"/>
    </row>
    <row r="108" spans="3:16" ht="12.75" x14ac:dyDescent="0.2">
      <c r="C108" s="6"/>
      <c r="D108" s="55" t="s">
        <v>225</v>
      </c>
      <c r="E108" s="59" t="s">
        <v>218</v>
      </c>
      <c r="F108" s="22" t="s">
        <v>226</v>
      </c>
      <c r="G108" s="23">
        <f t="shared" si="0"/>
        <v>0</v>
      </c>
      <c r="H108" s="56"/>
      <c r="I108" s="56"/>
      <c r="J108" s="56"/>
      <c r="K108" s="56"/>
      <c r="L108" s="13"/>
      <c r="M108" s="24"/>
      <c r="P108" s="25"/>
    </row>
    <row r="109" spans="3:16" ht="22.5" x14ac:dyDescent="0.2">
      <c r="C109" s="6"/>
      <c r="D109" s="55" t="s">
        <v>227</v>
      </c>
      <c r="E109" s="49" t="s">
        <v>228</v>
      </c>
      <c r="F109" s="22" t="s">
        <v>229</v>
      </c>
      <c r="G109" s="23">
        <f t="shared" si="0"/>
        <v>0</v>
      </c>
      <c r="H109" s="58">
        <f>H110+H111</f>
        <v>0</v>
      </c>
      <c r="I109" s="58">
        <f>I110+I111</f>
        <v>0</v>
      </c>
      <c r="J109" s="58">
        <f>J110+J111</f>
        <v>0</v>
      </c>
      <c r="K109" s="58">
        <f>K110+K111</f>
        <v>0</v>
      </c>
      <c r="L109" s="13"/>
      <c r="M109" s="24"/>
      <c r="P109" s="25"/>
    </row>
    <row r="110" spans="3:16" ht="12.75" x14ac:dyDescent="0.2">
      <c r="C110" s="6"/>
      <c r="D110" s="55" t="s">
        <v>230</v>
      </c>
      <c r="E110" s="59" t="s">
        <v>215</v>
      </c>
      <c r="F110" s="22" t="s">
        <v>231</v>
      </c>
      <c r="G110" s="23">
        <f t="shared" si="0"/>
        <v>0</v>
      </c>
      <c r="H110" s="56"/>
      <c r="I110" s="56"/>
      <c r="J110" s="56"/>
      <c r="K110" s="56"/>
      <c r="L110" s="13"/>
      <c r="M110" s="24"/>
      <c r="P110" s="25"/>
    </row>
    <row r="111" spans="3:16" ht="12.75" x14ac:dyDescent="0.2">
      <c r="C111" s="6"/>
      <c r="D111" s="55" t="s">
        <v>232</v>
      </c>
      <c r="E111" s="59" t="s">
        <v>218</v>
      </c>
      <c r="F111" s="22" t="s">
        <v>233</v>
      </c>
      <c r="G111" s="23">
        <f t="shared" si="0"/>
        <v>0</v>
      </c>
      <c r="H111" s="56"/>
      <c r="I111" s="56"/>
      <c r="J111" s="56"/>
      <c r="K111" s="56"/>
      <c r="L111" s="13"/>
      <c r="M111" s="24"/>
      <c r="P111" s="25"/>
    </row>
    <row r="112" spans="3:16" ht="12.75" x14ac:dyDescent="0.2">
      <c r="C112" s="6"/>
      <c r="D112" s="55" t="s">
        <v>234</v>
      </c>
      <c r="E112" s="49" t="s">
        <v>235</v>
      </c>
      <c r="F112" s="22" t="s">
        <v>236</v>
      </c>
      <c r="G112" s="23">
        <f t="shared" si="0"/>
        <v>0</v>
      </c>
      <c r="H112" s="56"/>
      <c r="I112" s="56"/>
      <c r="J112" s="56"/>
      <c r="K112" s="56"/>
      <c r="L112" s="13"/>
      <c r="M112" s="24"/>
      <c r="P112" s="25"/>
    </row>
    <row r="113" spans="3:16" ht="12.75" x14ac:dyDescent="0.2">
      <c r="C113" s="6"/>
      <c r="D113" s="55" t="s">
        <v>237</v>
      </c>
      <c r="E113" s="49" t="s">
        <v>238</v>
      </c>
      <c r="F113" s="22" t="s">
        <v>239</v>
      </c>
      <c r="G113" s="23">
        <f t="shared" si="0"/>
        <v>0</v>
      </c>
      <c r="H113" s="56"/>
      <c r="I113" s="56"/>
      <c r="J113" s="56"/>
      <c r="K113" s="56"/>
      <c r="L113" s="13"/>
      <c r="M113" s="24"/>
      <c r="P113" s="25"/>
    </row>
    <row r="114" spans="3:16" ht="33.75" x14ac:dyDescent="0.2">
      <c r="C114" s="6"/>
      <c r="D114" s="55" t="s">
        <v>240</v>
      </c>
      <c r="E114" s="49" t="s">
        <v>241</v>
      </c>
      <c r="F114" s="22" t="s">
        <v>242</v>
      </c>
      <c r="G114" s="23">
        <f t="shared" si="0"/>
        <v>0</v>
      </c>
      <c r="H114" s="56"/>
      <c r="I114" s="56"/>
      <c r="J114" s="56"/>
      <c r="K114" s="56"/>
      <c r="L114" s="13"/>
      <c r="M114" s="24"/>
      <c r="P114" s="25"/>
    </row>
    <row r="115" spans="3:16" ht="22.5" x14ac:dyDescent="0.2">
      <c r="C115" s="6"/>
      <c r="D115" s="55" t="s">
        <v>243</v>
      </c>
      <c r="E115" s="49" t="s">
        <v>244</v>
      </c>
      <c r="F115" s="22" t="s">
        <v>245</v>
      </c>
      <c r="G115" s="23">
        <f t="shared" si="0"/>
        <v>0</v>
      </c>
      <c r="H115" s="56"/>
      <c r="I115" s="56"/>
      <c r="J115" s="56"/>
      <c r="K115" s="56"/>
      <c r="L115" s="13"/>
      <c r="M115" s="24"/>
      <c r="P115" s="25"/>
    </row>
    <row r="116" spans="3:16" ht="12.75" x14ac:dyDescent="0.2">
      <c r="C116" s="6"/>
      <c r="D116" s="55" t="s">
        <v>246</v>
      </c>
      <c r="E116" s="26" t="s">
        <v>247</v>
      </c>
      <c r="F116" s="22" t="s">
        <v>248</v>
      </c>
      <c r="G116" s="23">
        <f t="shared" si="0"/>
        <v>0</v>
      </c>
      <c r="H116" s="57">
        <f>H119</f>
        <v>0</v>
      </c>
      <c r="I116" s="57">
        <f>I119</f>
        <v>0</v>
      </c>
      <c r="J116" s="57">
        <f>J119</f>
        <v>0</v>
      </c>
      <c r="K116" s="57">
        <f>K119</f>
        <v>0</v>
      </c>
      <c r="L116" s="13"/>
      <c r="M116" s="24"/>
      <c r="P116" s="25">
        <v>770</v>
      </c>
    </row>
    <row r="117" spans="3:16" ht="12.75" x14ac:dyDescent="0.2">
      <c r="C117" s="6"/>
      <c r="D117" s="55" t="s">
        <v>249</v>
      </c>
      <c r="E117" s="48" t="s">
        <v>191</v>
      </c>
      <c r="F117" s="22" t="s">
        <v>250</v>
      </c>
      <c r="G117" s="23">
        <f t="shared" si="0"/>
        <v>0</v>
      </c>
      <c r="H117" s="56"/>
      <c r="I117" s="56"/>
      <c r="J117" s="56"/>
      <c r="K117" s="56"/>
      <c r="L117" s="13"/>
      <c r="M117" s="24"/>
      <c r="P117" s="25">
        <v>780</v>
      </c>
    </row>
    <row r="118" spans="3:16" ht="12.75" x14ac:dyDescent="0.2">
      <c r="C118" s="6"/>
      <c r="D118" s="55" t="s">
        <v>251</v>
      </c>
      <c r="E118" s="49" t="s">
        <v>252</v>
      </c>
      <c r="F118" s="22" t="s">
        <v>253</v>
      </c>
      <c r="G118" s="23">
        <f t="shared" si="0"/>
        <v>0</v>
      </c>
      <c r="H118" s="56"/>
      <c r="I118" s="56"/>
      <c r="J118" s="56"/>
      <c r="K118" s="56"/>
      <c r="L118" s="13"/>
      <c r="M118" s="24"/>
      <c r="P118" s="25"/>
    </row>
    <row r="119" spans="3:16" ht="12.75" x14ac:dyDescent="0.2">
      <c r="C119" s="6"/>
      <c r="D119" s="55" t="s">
        <v>254</v>
      </c>
      <c r="E119" s="48" t="s">
        <v>197</v>
      </c>
      <c r="F119" s="22" t="s">
        <v>255</v>
      </c>
      <c r="G119" s="23">
        <f t="shared" si="0"/>
        <v>0</v>
      </c>
      <c r="H119" s="56"/>
      <c r="I119" s="56"/>
      <c r="J119" s="56"/>
      <c r="K119" s="56"/>
      <c r="L119" s="13"/>
      <c r="M119" s="24"/>
      <c r="P119" s="25">
        <v>790</v>
      </c>
    </row>
    <row r="120" spans="3:16" ht="12.75" x14ac:dyDescent="0.2">
      <c r="C120" s="6"/>
      <c r="D120" s="55" t="s">
        <v>256</v>
      </c>
      <c r="E120" s="46" t="s">
        <v>257</v>
      </c>
      <c r="F120" s="22" t="s">
        <v>258</v>
      </c>
      <c r="G120" s="23">
        <f t="shared" si="0"/>
        <v>12760.483</v>
      </c>
      <c r="H120" s="57">
        <f>SUM(H121:H122)</f>
        <v>0</v>
      </c>
      <c r="I120" s="57">
        <f>SUM(I121:I122)</f>
        <v>0</v>
      </c>
      <c r="J120" s="57">
        <f>SUM(J121:J122)</f>
        <v>1394.9110000000001</v>
      </c>
      <c r="K120" s="57">
        <f>SUM(K121:K122)</f>
        <v>11365.572</v>
      </c>
      <c r="L120" s="13"/>
      <c r="M120" s="24"/>
      <c r="P120" s="25"/>
    </row>
    <row r="121" spans="3:16" ht="12.75" x14ac:dyDescent="0.2">
      <c r="C121" s="6"/>
      <c r="D121" s="55" t="s">
        <v>259</v>
      </c>
      <c r="E121" s="26" t="s">
        <v>185</v>
      </c>
      <c r="F121" s="22" t="s">
        <v>260</v>
      </c>
      <c r="G121" s="23">
        <f t="shared" si="0"/>
        <v>12760.483</v>
      </c>
      <c r="H121" s="56"/>
      <c r="I121" s="56"/>
      <c r="J121" s="56">
        <f>J36</f>
        <v>1394.9110000000001</v>
      </c>
      <c r="K121" s="56">
        <f>K36</f>
        <v>11365.572</v>
      </c>
      <c r="L121" s="13"/>
      <c r="M121" s="24"/>
      <c r="P121" s="25"/>
    </row>
    <row r="122" spans="3:16" ht="12.75" x14ac:dyDescent="0.2">
      <c r="C122" s="6"/>
      <c r="D122" s="55" t="s">
        <v>261</v>
      </c>
      <c r="E122" s="26" t="s">
        <v>188</v>
      </c>
      <c r="F122" s="22" t="s">
        <v>262</v>
      </c>
      <c r="G122" s="23">
        <f t="shared" si="0"/>
        <v>0</v>
      </c>
      <c r="H122" s="57">
        <f>H124</f>
        <v>0</v>
      </c>
      <c r="I122" s="57">
        <f>I124</f>
        <v>0</v>
      </c>
      <c r="J122" s="57">
        <f>J124</f>
        <v>0</v>
      </c>
      <c r="K122" s="57">
        <f>K124</f>
        <v>0</v>
      </c>
      <c r="L122" s="13"/>
      <c r="M122" s="24"/>
      <c r="P122" s="25"/>
    </row>
    <row r="123" spans="3:16" ht="12.75" x14ac:dyDescent="0.2">
      <c r="C123" s="6"/>
      <c r="D123" s="55" t="s">
        <v>263</v>
      </c>
      <c r="E123" s="48" t="s">
        <v>264</v>
      </c>
      <c r="F123" s="22" t="s">
        <v>265</v>
      </c>
      <c r="G123" s="23">
        <f t="shared" si="0"/>
        <v>0</v>
      </c>
      <c r="H123" s="56"/>
      <c r="I123" s="56"/>
      <c r="J123" s="56"/>
      <c r="K123" s="56"/>
      <c r="L123" s="13"/>
      <c r="M123" s="24"/>
      <c r="P123" s="25"/>
    </row>
    <row r="124" spans="3:16" ht="12.75" x14ac:dyDescent="0.2">
      <c r="C124" s="6"/>
      <c r="D124" s="55" t="s">
        <v>266</v>
      </c>
      <c r="E124" s="48" t="s">
        <v>197</v>
      </c>
      <c r="F124" s="22" t="s">
        <v>267</v>
      </c>
      <c r="G124" s="23">
        <f t="shared" si="0"/>
        <v>0</v>
      </c>
      <c r="H124" s="56"/>
      <c r="I124" s="56"/>
      <c r="J124" s="56"/>
      <c r="K124" s="56"/>
      <c r="L124" s="13"/>
      <c r="M124" s="24"/>
      <c r="P124" s="25"/>
    </row>
    <row r="125" spans="3:16" ht="12.75" x14ac:dyDescent="0.2">
      <c r="C125" s="6"/>
      <c r="D125" s="87" t="s">
        <v>268</v>
      </c>
      <c r="E125" s="88"/>
      <c r="F125" s="88"/>
      <c r="G125" s="88"/>
      <c r="H125" s="88"/>
      <c r="I125" s="88"/>
      <c r="J125" s="88"/>
      <c r="K125" s="89"/>
      <c r="L125" s="13"/>
      <c r="M125" s="24"/>
      <c r="P125" s="60"/>
    </row>
    <row r="126" spans="3:16" ht="22.5" x14ac:dyDescent="0.2">
      <c r="C126" s="6"/>
      <c r="D126" s="55" t="s">
        <v>269</v>
      </c>
      <c r="E126" s="21" t="s">
        <v>270</v>
      </c>
      <c r="F126" s="22" t="s">
        <v>271</v>
      </c>
      <c r="G126" s="23">
        <f t="shared" si="0"/>
        <v>0</v>
      </c>
      <c r="H126" s="57">
        <f>SUM( H127:H128)</f>
        <v>0</v>
      </c>
      <c r="I126" s="57">
        <f>SUM( I127:I128)</f>
        <v>0</v>
      </c>
      <c r="J126" s="57">
        <f>SUM( J127:J128)</f>
        <v>0</v>
      </c>
      <c r="K126" s="57">
        <f>SUM( K127:K128)</f>
        <v>0</v>
      </c>
      <c r="L126" s="13"/>
      <c r="M126" s="24"/>
      <c r="P126" s="25">
        <v>800</v>
      </c>
    </row>
    <row r="127" spans="3:16" ht="12.75" x14ac:dyDescent="0.2">
      <c r="C127" s="6"/>
      <c r="D127" s="55" t="s">
        <v>272</v>
      </c>
      <c r="E127" s="26" t="s">
        <v>185</v>
      </c>
      <c r="F127" s="22" t="s">
        <v>273</v>
      </c>
      <c r="G127" s="23">
        <f t="shared" si="0"/>
        <v>0</v>
      </c>
      <c r="H127" s="56"/>
      <c r="I127" s="56"/>
      <c r="J127" s="56"/>
      <c r="K127" s="56"/>
      <c r="L127" s="13"/>
      <c r="M127" s="24"/>
      <c r="P127" s="25">
        <v>810</v>
      </c>
    </row>
    <row r="128" spans="3:16" ht="12.75" x14ac:dyDescent="0.2">
      <c r="C128" s="6"/>
      <c r="D128" s="55" t="s">
        <v>274</v>
      </c>
      <c r="E128" s="26" t="s">
        <v>188</v>
      </c>
      <c r="F128" s="22" t="s">
        <v>275</v>
      </c>
      <c r="G128" s="23">
        <f t="shared" si="0"/>
        <v>0</v>
      </c>
      <c r="H128" s="57">
        <f>H129+H131</f>
        <v>0</v>
      </c>
      <c r="I128" s="57">
        <f>I129+I131</f>
        <v>0</v>
      </c>
      <c r="J128" s="57">
        <f>J129+J131</f>
        <v>0</v>
      </c>
      <c r="K128" s="57">
        <f>K129+K131</f>
        <v>0</v>
      </c>
      <c r="L128" s="13"/>
      <c r="M128" s="24"/>
      <c r="P128" s="25">
        <v>820</v>
      </c>
    </row>
    <row r="129" spans="3:16" ht="12.75" x14ac:dyDescent="0.2">
      <c r="C129" s="6"/>
      <c r="D129" s="55" t="s">
        <v>276</v>
      </c>
      <c r="E129" s="48" t="s">
        <v>277</v>
      </c>
      <c r="F129" s="22" t="s">
        <v>278</v>
      </c>
      <c r="G129" s="23">
        <f t="shared" si="0"/>
        <v>0</v>
      </c>
      <c r="H129" s="56"/>
      <c r="I129" s="56"/>
      <c r="J129" s="56"/>
      <c r="K129" s="56"/>
      <c r="L129" s="13"/>
      <c r="M129" s="24"/>
      <c r="P129" s="25">
        <v>830</v>
      </c>
    </row>
    <row r="130" spans="3:16" ht="12.75" x14ac:dyDescent="0.2">
      <c r="C130" s="6"/>
      <c r="D130" s="55" t="s">
        <v>279</v>
      </c>
      <c r="E130" s="49" t="s">
        <v>280</v>
      </c>
      <c r="F130" s="22" t="s">
        <v>281</v>
      </c>
      <c r="G130" s="23">
        <f t="shared" si="0"/>
        <v>0</v>
      </c>
      <c r="H130" s="56"/>
      <c r="I130" s="56"/>
      <c r="J130" s="56"/>
      <c r="K130" s="56"/>
      <c r="L130" s="13"/>
      <c r="M130" s="24"/>
      <c r="P130" s="60"/>
    </row>
    <row r="131" spans="3:16" ht="12.75" x14ac:dyDescent="0.2">
      <c r="C131" s="6"/>
      <c r="D131" s="55" t="s">
        <v>282</v>
      </c>
      <c r="E131" s="48" t="s">
        <v>283</v>
      </c>
      <c r="F131" s="22" t="s">
        <v>284</v>
      </c>
      <c r="G131" s="23">
        <f t="shared" si="0"/>
        <v>0</v>
      </c>
      <c r="H131" s="56"/>
      <c r="I131" s="56"/>
      <c r="J131" s="56"/>
      <c r="K131" s="56"/>
      <c r="L131" s="13"/>
      <c r="M131" s="24"/>
      <c r="P131" s="25">
        <v>840</v>
      </c>
    </row>
    <row r="132" spans="3:16" ht="12.75" x14ac:dyDescent="0.2">
      <c r="C132" s="6"/>
      <c r="D132" s="55" t="s">
        <v>30</v>
      </c>
      <c r="E132" s="21" t="s">
        <v>285</v>
      </c>
      <c r="F132" s="22" t="s">
        <v>286</v>
      </c>
      <c r="G132" s="23">
        <f t="shared" si="0"/>
        <v>0</v>
      </c>
      <c r="H132" s="58">
        <f>SUM( H133+H138)</f>
        <v>0</v>
      </c>
      <c r="I132" s="58">
        <f>SUM( I133+I138)</f>
        <v>0</v>
      </c>
      <c r="J132" s="58">
        <f>SUM( J133+J138)</f>
        <v>0</v>
      </c>
      <c r="K132" s="58">
        <f>SUM( K133+K138)</f>
        <v>0</v>
      </c>
      <c r="L132" s="61"/>
      <c r="M132" s="24"/>
      <c r="P132" s="25">
        <v>850</v>
      </c>
    </row>
    <row r="133" spans="3:16" ht="12.75" x14ac:dyDescent="0.2">
      <c r="C133" s="6"/>
      <c r="D133" s="55" t="s">
        <v>287</v>
      </c>
      <c r="E133" s="26" t="s">
        <v>185</v>
      </c>
      <c r="F133" s="22" t="s">
        <v>288</v>
      </c>
      <c r="G133" s="23">
        <f t="shared" ref="G133:G146" si="1">SUM(H133:K133)</f>
        <v>0</v>
      </c>
      <c r="H133" s="58">
        <f>SUM( H134:H135)</f>
        <v>0</v>
      </c>
      <c r="I133" s="58">
        <f>SUM( I134:I135)</f>
        <v>0</v>
      </c>
      <c r="J133" s="58">
        <f>SUM( J134:J135)</f>
        <v>0</v>
      </c>
      <c r="K133" s="58">
        <f>SUM( K134:K135)</f>
        <v>0</v>
      </c>
      <c r="L133" s="61"/>
      <c r="M133" s="24"/>
      <c r="P133" s="25">
        <v>860</v>
      </c>
    </row>
    <row r="134" spans="3:16" ht="12.75" x14ac:dyDescent="0.2">
      <c r="C134" s="6"/>
      <c r="D134" s="55" t="s">
        <v>289</v>
      </c>
      <c r="E134" s="48" t="s">
        <v>206</v>
      </c>
      <c r="F134" s="22" t="s">
        <v>290</v>
      </c>
      <c r="G134" s="23">
        <f t="shared" si="1"/>
        <v>0</v>
      </c>
      <c r="H134" s="62"/>
      <c r="I134" s="62"/>
      <c r="J134" s="62"/>
      <c r="K134" s="62"/>
      <c r="L134" s="61"/>
      <c r="M134" s="24"/>
      <c r="P134" s="25"/>
    </row>
    <row r="135" spans="3:16" ht="12.75" x14ac:dyDescent="0.2">
      <c r="C135" s="6"/>
      <c r="D135" s="55" t="s">
        <v>291</v>
      </c>
      <c r="E135" s="48" t="s">
        <v>209</v>
      </c>
      <c r="F135" s="22" t="s">
        <v>292</v>
      </c>
      <c r="G135" s="23">
        <f t="shared" si="1"/>
        <v>0</v>
      </c>
      <c r="H135" s="58">
        <f>H136+H137</f>
        <v>0</v>
      </c>
      <c r="I135" s="58">
        <f>I136+I137</f>
        <v>0</v>
      </c>
      <c r="J135" s="58">
        <f>J136+J137</f>
        <v>0</v>
      </c>
      <c r="K135" s="58">
        <f>K136+K137</f>
        <v>0</v>
      </c>
      <c r="L135" s="61"/>
      <c r="M135" s="24"/>
      <c r="P135" s="25"/>
    </row>
    <row r="136" spans="3:16" ht="12.75" x14ac:dyDescent="0.2">
      <c r="C136" s="6"/>
      <c r="D136" s="55" t="s">
        <v>293</v>
      </c>
      <c r="E136" s="49" t="s">
        <v>215</v>
      </c>
      <c r="F136" s="22" t="s">
        <v>294</v>
      </c>
      <c r="G136" s="23">
        <f t="shared" si="1"/>
        <v>0</v>
      </c>
      <c r="H136" s="62"/>
      <c r="I136" s="62"/>
      <c r="J136" s="62"/>
      <c r="K136" s="62"/>
      <c r="L136" s="61"/>
      <c r="M136" s="24"/>
      <c r="P136" s="25"/>
    </row>
    <row r="137" spans="3:16" ht="12.75" x14ac:dyDescent="0.2">
      <c r="C137" s="6"/>
      <c r="D137" s="55" t="s">
        <v>295</v>
      </c>
      <c r="E137" s="49" t="s">
        <v>296</v>
      </c>
      <c r="F137" s="22" t="s">
        <v>297</v>
      </c>
      <c r="G137" s="23">
        <f t="shared" si="1"/>
        <v>0</v>
      </c>
      <c r="H137" s="62"/>
      <c r="I137" s="62"/>
      <c r="J137" s="62"/>
      <c r="K137" s="62"/>
      <c r="L137" s="61"/>
      <c r="M137" s="24"/>
      <c r="P137" s="25"/>
    </row>
    <row r="138" spans="3:16" ht="12.75" x14ac:dyDescent="0.2">
      <c r="C138" s="6"/>
      <c r="D138" s="55" t="s">
        <v>298</v>
      </c>
      <c r="E138" s="26" t="s">
        <v>247</v>
      </c>
      <c r="F138" s="22" t="s">
        <v>299</v>
      </c>
      <c r="G138" s="23">
        <f t="shared" si="1"/>
        <v>0</v>
      </c>
      <c r="H138" s="58">
        <f>H139+H141</f>
        <v>0</v>
      </c>
      <c r="I138" s="58">
        <f>I139+I141</f>
        <v>0</v>
      </c>
      <c r="J138" s="58">
        <f>J139+J141</f>
        <v>0</v>
      </c>
      <c r="K138" s="58">
        <f>K139+K141</f>
        <v>0</v>
      </c>
      <c r="L138" s="61"/>
      <c r="M138" s="24"/>
      <c r="P138" s="25">
        <v>870</v>
      </c>
    </row>
    <row r="139" spans="3:16" ht="12.75" x14ac:dyDescent="0.2">
      <c r="C139" s="6"/>
      <c r="D139" s="55" t="s">
        <v>300</v>
      </c>
      <c r="E139" s="48" t="s">
        <v>277</v>
      </c>
      <c r="F139" s="22" t="s">
        <v>301</v>
      </c>
      <c r="G139" s="23">
        <f t="shared" si="1"/>
        <v>0</v>
      </c>
      <c r="H139" s="56"/>
      <c r="I139" s="56"/>
      <c r="J139" s="56"/>
      <c r="K139" s="56"/>
      <c r="L139" s="61"/>
      <c r="M139" s="24"/>
      <c r="P139" s="25">
        <v>880</v>
      </c>
    </row>
    <row r="140" spans="3:16" ht="12.75" x14ac:dyDescent="0.2">
      <c r="C140" s="6"/>
      <c r="D140" s="55" t="s">
        <v>302</v>
      </c>
      <c r="E140" s="49" t="s">
        <v>280</v>
      </c>
      <c r="F140" s="22" t="s">
        <v>303</v>
      </c>
      <c r="G140" s="23">
        <f t="shared" si="1"/>
        <v>0</v>
      </c>
      <c r="H140" s="56"/>
      <c r="I140" s="56"/>
      <c r="J140" s="56"/>
      <c r="K140" s="56"/>
      <c r="L140" s="61"/>
      <c r="M140" s="24"/>
      <c r="P140" s="25"/>
    </row>
    <row r="141" spans="3:16" ht="12.75" x14ac:dyDescent="0.2">
      <c r="C141" s="6"/>
      <c r="D141" s="55" t="s">
        <v>304</v>
      </c>
      <c r="E141" s="48" t="s">
        <v>283</v>
      </c>
      <c r="F141" s="22" t="s">
        <v>305</v>
      </c>
      <c r="G141" s="23">
        <f t="shared" si="1"/>
        <v>0</v>
      </c>
      <c r="H141" s="63"/>
      <c r="I141" s="63"/>
      <c r="J141" s="63"/>
      <c r="K141" s="63"/>
      <c r="L141" s="61"/>
      <c r="M141" s="24"/>
      <c r="P141" s="25">
        <v>890</v>
      </c>
    </row>
    <row r="142" spans="3:16" ht="12.75" x14ac:dyDescent="0.2">
      <c r="C142" s="6"/>
      <c r="D142" s="55" t="s">
        <v>306</v>
      </c>
      <c r="E142" s="21" t="s">
        <v>307</v>
      </c>
      <c r="F142" s="22" t="s">
        <v>308</v>
      </c>
      <c r="G142" s="23">
        <f t="shared" si="1"/>
        <v>18579.263247999999</v>
      </c>
      <c r="H142" s="64">
        <f>SUM( H143:H144)</f>
        <v>0</v>
      </c>
      <c r="I142" s="64">
        <f>SUM( I143:I144)</f>
        <v>0</v>
      </c>
      <c r="J142" s="64">
        <f>SUM( J143:J144)</f>
        <v>2030.9904160000001</v>
      </c>
      <c r="K142" s="64">
        <f>SUM( K143:K144)</f>
        <v>16548.272831999999</v>
      </c>
      <c r="L142" s="61"/>
      <c r="M142" s="24"/>
      <c r="P142" s="25">
        <v>900</v>
      </c>
    </row>
    <row r="143" spans="3:16" ht="12.75" x14ac:dyDescent="0.2">
      <c r="C143" s="6"/>
      <c r="D143" s="55" t="s">
        <v>309</v>
      </c>
      <c r="E143" s="26" t="s">
        <v>185</v>
      </c>
      <c r="F143" s="22" t="s">
        <v>310</v>
      </c>
      <c r="G143" s="23">
        <f t="shared" si="1"/>
        <v>18579.263247999999</v>
      </c>
      <c r="H143" s="63"/>
      <c r="I143" s="63"/>
      <c r="J143" s="65">
        <f>J121*1.456</f>
        <v>2030.9904160000001</v>
      </c>
      <c r="K143" s="65">
        <f>K121*1.456</f>
        <v>16548.272831999999</v>
      </c>
      <c r="L143" s="61"/>
      <c r="M143" s="24"/>
      <c r="P143" s="25"/>
    </row>
    <row r="144" spans="3:16" ht="12.75" x14ac:dyDescent="0.2">
      <c r="C144" s="6"/>
      <c r="D144" s="55" t="s">
        <v>311</v>
      </c>
      <c r="E144" s="26" t="s">
        <v>188</v>
      </c>
      <c r="F144" s="22" t="s">
        <v>312</v>
      </c>
      <c r="G144" s="23">
        <f t="shared" si="1"/>
        <v>0</v>
      </c>
      <c r="H144" s="64">
        <f>H145+H146</f>
        <v>0</v>
      </c>
      <c r="I144" s="64">
        <f>I145+I146</f>
        <v>0</v>
      </c>
      <c r="J144" s="64">
        <f>J145+J146</f>
        <v>0</v>
      </c>
      <c r="K144" s="64">
        <f>K145+K146</f>
        <v>0</v>
      </c>
      <c r="L144" s="61"/>
      <c r="M144" s="24"/>
      <c r="P144" s="25"/>
    </row>
    <row r="145" spans="3:19" ht="12.75" x14ac:dyDescent="0.2">
      <c r="C145" s="6"/>
      <c r="D145" s="55" t="s">
        <v>313</v>
      </c>
      <c r="E145" s="48" t="s">
        <v>314</v>
      </c>
      <c r="F145" s="22" t="s">
        <v>315</v>
      </c>
      <c r="G145" s="23">
        <f t="shared" si="1"/>
        <v>0</v>
      </c>
      <c r="H145" s="63"/>
      <c r="I145" s="63"/>
      <c r="J145" s="63"/>
      <c r="K145" s="63"/>
      <c r="L145" s="61"/>
      <c r="M145" s="24"/>
      <c r="P145" s="25" t="s">
        <v>316</v>
      </c>
    </row>
    <row r="146" spans="3:19" ht="12.75" x14ac:dyDescent="0.2">
      <c r="C146" s="6"/>
      <c r="D146" s="55" t="s">
        <v>317</v>
      </c>
      <c r="E146" s="48" t="s">
        <v>283</v>
      </c>
      <c r="F146" s="22" t="s">
        <v>318</v>
      </c>
      <c r="G146" s="23">
        <f t="shared" si="1"/>
        <v>0</v>
      </c>
      <c r="H146" s="63"/>
      <c r="I146" s="63"/>
      <c r="J146" s="63"/>
      <c r="K146" s="66"/>
      <c r="L146" s="61"/>
      <c r="M146" s="24"/>
      <c r="P146" s="25" t="s">
        <v>319</v>
      </c>
    </row>
    <row r="147" spans="3:19" x14ac:dyDescent="0.25">
      <c r="D147" s="11"/>
      <c r="E147" s="67"/>
      <c r="F147" s="67"/>
      <c r="G147" s="67"/>
      <c r="H147" s="67"/>
      <c r="I147" s="67"/>
      <c r="J147" s="67"/>
      <c r="K147" s="68"/>
      <c r="L147" s="68"/>
      <c r="M147" s="68"/>
      <c r="N147" s="68"/>
      <c r="O147" s="68"/>
      <c r="P147" s="68"/>
      <c r="Q147" s="68"/>
      <c r="R147" s="69"/>
      <c r="S147" s="69"/>
    </row>
    <row r="148" spans="3:19" ht="12.75" x14ac:dyDescent="0.2">
      <c r="E148" s="24" t="s">
        <v>320</v>
      </c>
      <c r="F148" s="79" t="str">
        <f>IF([1]Титульный!G45="","",[1]Титульный!G45)</f>
        <v>Коммерческий директор</v>
      </c>
      <c r="G148" s="79"/>
      <c r="H148" s="70"/>
      <c r="I148" s="79" t="str">
        <f>IF([1]Титульный!G44="","",[1]Титульный!G44)</f>
        <v>Байков Алексей Александрович</v>
      </c>
      <c r="J148" s="79"/>
      <c r="K148" s="79"/>
      <c r="L148" s="70"/>
      <c r="M148" s="71"/>
      <c r="N148" s="71"/>
      <c r="O148" s="72"/>
      <c r="P148" s="68"/>
      <c r="Q148" s="68"/>
      <c r="R148" s="69"/>
      <c r="S148" s="69"/>
    </row>
    <row r="149" spans="3:19" ht="12.75" x14ac:dyDescent="0.2">
      <c r="E149" s="73" t="s">
        <v>321</v>
      </c>
      <c r="F149" s="78" t="s">
        <v>322</v>
      </c>
      <c r="G149" s="78"/>
      <c r="H149" s="72"/>
      <c r="I149" s="78" t="s">
        <v>323</v>
      </c>
      <c r="J149" s="78"/>
      <c r="K149" s="78"/>
      <c r="L149" s="72"/>
      <c r="M149" s="78" t="s">
        <v>324</v>
      </c>
      <c r="N149" s="78"/>
      <c r="O149" s="24"/>
      <c r="P149" s="68"/>
      <c r="Q149" s="68"/>
      <c r="R149" s="69"/>
      <c r="S149" s="69"/>
    </row>
    <row r="150" spans="3:19" ht="12.75" x14ac:dyDescent="0.2">
      <c r="E150" s="73" t="s">
        <v>325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68"/>
      <c r="Q150" s="68"/>
      <c r="R150" s="69"/>
      <c r="S150" s="69"/>
    </row>
    <row r="151" spans="3:19" ht="12.75" x14ac:dyDescent="0.2">
      <c r="E151" s="73" t="s">
        <v>326</v>
      </c>
      <c r="F151" s="79" t="str">
        <f>IF([1]Титульный!G46="","",[1]Титульный!G46)</f>
        <v>(495) 637 3220</v>
      </c>
      <c r="G151" s="79"/>
      <c r="H151" s="79"/>
      <c r="I151" s="24"/>
      <c r="J151" s="73" t="s">
        <v>327</v>
      </c>
      <c r="K151" s="74"/>
      <c r="L151" s="24"/>
      <c r="M151" s="24"/>
      <c r="N151" s="24"/>
      <c r="O151" s="24"/>
      <c r="P151" s="68"/>
      <c r="Q151" s="68"/>
      <c r="R151" s="69"/>
      <c r="S151" s="69"/>
    </row>
    <row r="152" spans="3:19" ht="12.75" x14ac:dyDescent="0.2">
      <c r="E152" s="24" t="s">
        <v>328</v>
      </c>
      <c r="F152" s="80" t="s">
        <v>329</v>
      </c>
      <c r="G152" s="80"/>
      <c r="H152" s="80"/>
      <c r="I152" s="24"/>
      <c r="J152" s="75" t="s">
        <v>330</v>
      </c>
      <c r="K152" s="75"/>
      <c r="L152" s="24"/>
      <c r="M152" s="24"/>
      <c r="N152" s="24"/>
      <c r="O152" s="24"/>
      <c r="P152" s="68"/>
      <c r="Q152" s="68"/>
      <c r="R152" s="69"/>
      <c r="S152" s="69"/>
    </row>
    <row r="153" spans="3:19" x14ac:dyDescent="0.25"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9"/>
      <c r="S153" s="69"/>
    </row>
    <row r="154" spans="3:19" x14ac:dyDescent="0.25"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9"/>
      <c r="S154" s="69"/>
    </row>
    <row r="155" spans="3:19" x14ac:dyDescent="0.25"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9"/>
      <c r="S155" s="69"/>
    </row>
    <row r="156" spans="3:19" x14ac:dyDescent="0.25"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9"/>
      <c r="S156" s="69"/>
    </row>
    <row r="157" spans="3:19" x14ac:dyDescent="0.25"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9"/>
      <c r="S157" s="69"/>
    </row>
    <row r="158" spans="3:19" x14ac:dyDescent="0.25"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9"/>
      <c r="S158" s="69"/>
    </row>
    <row r="159" spans="3:19" x14ac:dyDescent="0.25"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  <c r="S159" s="69"/>
    </row>
    <row r="160" spans="3:19" x14ac:dyDescent="0.25"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9"/>
      <c r="S160" s="69"/>
    </row>
    <row r="161" spans="5:19" x14ac:dyDescent="0.25"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9"/>
      <c r="S161" s="69"/>
    </row>
    <row r="162" spans="5:19" x14ac:dyDescent="0.25"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9"/>
      <c r="S162" s="69"/>
    </row>
    <row r="163" spans="5:19" x14ac:dyDescent="0.25"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9"/>
      <c r="S163" s="69"/>
    </row>
    <row r="164" spans="5:19" x14ac:dyDescent="0.25"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9"/>
      <c r="S164" s="69"/>
    </row>
    <row r="165" spans="5:19" x14ac:dyDescent="0.25"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9"/>
      <c r="S165" s="69"/>
    </row>
    <row r="166" spans="5:19" x14ac:dyDescent="0.25"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9"/>
      <c r="S166" s="69"/>
    </row>
    <row r="167" spans="5:19" x14ac:dyDescent="0.25"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9"/>
      <c r="S167" s="69"/>
    </row>
    <row r="168" spans="5:19" x14ac:dyDescent="0.25"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9"/>
      <c r="S168" s="69"/>
    </row>
    <row r="169" spans="5:19" x14ac:dyDescent="0.25"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9"/>
      <c r="S169" s="69"/>
    </row>
    <row r="170" spans="5:19" x14ac:dyDescent="0.25"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9"/>
      <c r="S170" s="69"/>
    </row>
    <row r="171" spans="5:19" x14ac:dyDescent="0.25"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9"/>
      <c r="S171" s="69"/>
    </row>
    <row r="172" spans="5:19" x14ac:dyDescent="0.25"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9"/>
      <c r="S172" s="69"/>
    </row>
    <row r="173" spans="5:19" x14ac:dyDescent="0.25"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9"/>
      <c r="S173" s="69"/>
    </row>
    <row r="174" spans="5:19" x14ac:dyDescent="0.25"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9"/>
      <c r="S174" s="69"/>
    </row>
    <row r="175" spans="5:19" x14ac:dyDescent="0.25"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9"/>
      <c r="S175" s="69"/>
    </row>
    <row r="176" spans="5:19" x14ac:dyDescent="0.25"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9"/>
      <c r="S176" s="69"/>
    </row>
    <row r="177" spans="5:19" x14ac:dyDescent="0.25"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9"/>
      <c r="S177" s="69"/>
    </row>
    <row r="178" spans="5:19" x14ac:dyDescent="0.25"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</row>
    <row r="179" spans="5:19" x14ac:dyDescent="0.25"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5:19" x14ac:dyDescent="0.25"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5:19" x14ac:dyDescent="0.25"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</sheetData>
  <mergeCells count="18">
    <mergeCell ref="F148:G148"/>
    <mergeCell ref="I148:K148"/>
    <mergeCell ref="D8:E8"/>
    <mergeCell ref="D11:D12"/>
    <mergeCell ref="E11:E12"/>
    <mergeCell ref="F11:F12"/>
    <mergeCell ref="G11:G12"/>
    <mergeCell ref="H11:K11"/>
    <mergeCell ref="D14:K14"/>
    <mergeCell ref="D51:K51"/>
    <mergeCell ref="D88:K88"/>
    <mergeCell ref="D92:K92"/>
    <mergeCell ref="D125:K125"/>
    <mergeCell ref="F149:G149"/>
    <mergeCell ref="I149:K149"/>
    <mergeCell ref="M149:N149"/>
    <mergeCell ref="F151:H151"/>
    <mergeCell ref="F152:H152"/>
  </mergeCells>
  <dataValidations count="2">
    <dataValidation allowBlank="1" showInputMessage="1" promptTitle="Ввод" prompt="Для выбора организации необходимо два раза нажать левую клавишу мыши!" sqref="E25 E62"/>
    <dataValidation type="decimal" allowBlank="1" showErrorMessage="1" errorTitle="Ошибка" error="Допускается ввод только действительных чисел!" sqref="G64:K77 G89:K91 G93:K124 G52:K55 G42:K50 G60:K62 G20:K21 G27:K40 G23:K25 G15:K18 G126:K146 G57:K58 G79:K87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15</vt:i4>
      </vt:variant>
    </vt:vector>
  </HeadingPairs>
  <TitlesOfParts>
    <vt:vector size="32" baseType="lpstr">
      <vt:lpstr>январь</vt:lpstr>
      <vt:lpstr>февраль</vt:lpstr>
      <vt:lpstr>март</vt:lpstr>
      <vt:lpstr>1квартал</vt:lpstr>
      <vt:lpstr>апрель</vt:lpstr>
      <vt:lpstr>май</vt:lpstr>
      <vt:lpstr>июнь</vt:lpstr>
      <vt:lpstr>2квартал</vt:lpstr>
      <vt:lpstr>1 пг</vt:lpstr>
      <vt:lpstr>июль</vt:lpstr>
      <vt:lpstr>август</vt:lpstr>
      <vt:lpstr>сентябрь</vt:lpstr>
      <vt:lpstr>октябрь</vt:lpstr>
      <vt:lpstr>ноябрь</vt:lpstr>
      <vt:lpstr>декабрь</vt:lpstr>
      <vt:lpstr>2 пг</vt:lpstr>
      <vt:lpstr>год2019</vt:lpstr>
      <vt:lpstr>'1 пг'!Область_печати</vt:lpstr>
      <vt:lpstr>'2 пг'!Область_печати</vt:lpstr>
      <vt:lpstr>август!Область_печати</vt:lpstr>
      <vt:lpstr>апрель!Область_печати</vt:lpstr>
      <vt:lpstr>год2019!Область_печати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Bukhmina</dc:creator>
  <cp:lastModifiedBy>Irina Bukhmina</cp:lastModifiedBy>
  <cp:lastPrinted>2020-03-27T12:08:34Z</cp:lastPrinted>
  <dcterms:created xsi:type="dcterms:W3CDTF">2019-08-08T13:57:01Z</dcterms:created>
  <dcterms:modified xsi:type="dcterms:W3CDTF">2020-03-27T12:15:01Z</dcterms:modified>
</cp:coreProperties>
</file>