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620" tabRatio="733" activeTab="18"/>
  </bookViews>
  <sheets>
    <sheet name="январь" sheetId="1" r:id="rId1"/>
    <sheet name="февраль" sheetId="2" r:id="rId2"/>
    <sheet name="март" sheetId="3" r:id="rId3"/>
    <sheet name="1квартал" sheetId="4" r:id="rId4"/>
    <sheet name="апрель" sheetId="5" r:id="rId5"/>
    <sheet name="май" sheetId="6" r:id="rId6"/>
    <sheet name="июнь" sheetId="7" r:id="rId7"/>
    <sheet name="2квартал" sheetId="8" r:id="rId8"/>
    <sheet name="1полугодие" sheetId="18" r:id="rId9"/>
    <sheet name="июль" sheetId="9" r:id="rId10"/>
    <sheet name="август" sheetId="10" r:id="rId11"/>
    <sheet name="сентябрь" sheetId="11" r:id="rId12"/>
    <sheet name="3квартал" sheetId="12" r:id="rId13"/>
    <sheet name="9месяцев" sheetId="19" r:id="rId14"/>
    <sheet name="октябрь" sheetId="13" r:id="rId15"/>
    <sheet name="ноябрь" sheetId="14" r:id="rId16"/>
    <sheet name="декабрь" sheetId="15" r:id="rId17"/>
    <sheet name="4квартал" sheetId="16" r:id="rId18"/>
    <sheet name="2017 год" sheetId="17" r:id="rId19"/>
  </sheets>
  <externalReferences>
    <externalReference r:id="rId20"/>
  </externalReferences>
  <definedNames>
    <definedName name="org">[1]Титульный!$G$16</definedName>
    <definedName name="_xlnm.Print_Area" localSheetId="3">'1квартал'!$A$1:$J$90</definedName>
    <definedName name="_xlnm.Print_Area" localSheetId="8">'1полугодие'!$A$1:$J$90</definedName>
    <definedName name="_xlnm.Print_Area" localSheetId="18">'2017 год'!$A$1:$J$90</definedName>
    <definedName name="_xlnm.Print_Area" localSheetId="7">'2квартал'!$A$1:$J$90</definedName>
    <definedName name="_xlnm.Print_Area" localSheetId="12">'3квартал'!$A$1:$J$90</definedName>
    <definedName name="_xlnm.Print_Area" localSheetId="17">'4квартал'!$A$1:$J$90</definedName>
    <definedName name="_xlnm.Print_Area" localSheetId="10">август!$A$1:$J$90</definedName>
    <definedName name="_xlnm.Print_Area" localSheetId="4">апрель!$A$1:$J$90</definedName>
    <definedName name="_xlnm.Print_Area" localSheetId="16">декабрь!$A$1:$J$90</definedName>
    <definedName name="_xlnm.Print_Area" localSheetId="9">июль!$A$1:$J$90</definedName>
    <definedName name="_xlnm.Print_Area" localSheetId="6">июнь!$A$1:$J$90</definedName>
    <definedName name="_xlnm.Print_Area" localSheetId="5">май!$A$1:$J$90</definedName>
    <definedName name="_xlnm.Print_Area" localSheetId="2">март!$A$1:$J$90</definedName>
    <definedName name="_xlnm.Print_Area" localSheetId="15">ноябрь!$A$1:$J$90</definedName>
    <definedName name="_xlnm.Print_Area" localSheetId="14">октябрь!$A$1:$J$90</definedName>
    <definedName name="_xlnm.Print_Area" localSheetId="11">сентябрь!$A$1:$J$90</definedName>
    <definedName name="_xlnm.Print_Area" localSheetId="1">февраль!$A$1:$J$90</definedName>
    <definedName name="_xlnm.Print_Area" localSheetId="0">январь!$A$1:$J$90</definedName>
  </definedNames>
  <calcPr calcId="145621"/>
</workbook>
</file>

<file path=xl/calcChain.xml><?xml version="1.0" encoding="utf-8"?>
<calcChain xmlns="http://schemas.openxmlformats.org/spreadsheetml/2006/main">
  <c r="J80" i="15" l="1"/>
  <c r="J79" i="15" s="1"/>
  <c r="I80" i="15"/>
  <c r="I79" i="15" s="1"/>
  <c r="H79" i="15"/>
  <c r="G79" i="15"/>
  <c r="J48" i="15"/>
  <c r="J46" i="15" s="1"/>
  <c r="I48" i="15"/>
  <c r="I46" i="15"/>
  <c r="I40" i="15"/>
  <c r="G40" i="15" s="1"/>
  <c r="G29" i="15"/>
  <c r="J24" i="15"/>
  <c r="I24" i="15"/>
  <c r="I20" i="15"/>
  <c r="I19" i="15" s="1"/>
  <c r="J15" i="15"/>
  <c r="I15" i="15"/>
  <c r="H15" i="15"/>
  <c r="G15" i="15"/>
  <c r="J80" i="14"/>
  <c r="J79" i="14" s="1"/>
  <c r="I80" i="14"/>
  <c r="I79" i="14" s="1"/>
  <c r="H79" i="14"/>
  <c r="G79" i="14"/>
  <c r="J48" i="14"/>
  <c r="J46" i="14" s="1"/>
  <c r="I48" i="14"/>
  <c r="I46" i="14"/>
  <c r="I40" i="14"/>
  <c r="G40" i="14" s="1"/>
  <c r="G29" i="14"/>
  <c r="J24" i="14"/>
  <c r="I24" i="14"/>
  <c r="I20" i="14"/>
  <c r="I19" i="14"/>
  <c r="J15" i="14"/>
  <c r="I15" i="14"/>
  <c r="H15" i="14"/>
  <c r="G15" i="14"/>
  <c r="J80" i="13"/>
  <c r="J79" i="13" s="1"/>
  <c r="I80" i="13"/>
  <c r="I79" i="13" s="1"/>
  <c r="H79" i="13"/>
  <c r="G79" i="13"/>
  <c r="I48" i="13"/>
  <c r="J48" i="13" s="1"/>
  <c r="I40" i="13"/>
  <c r="I37" i="13" s="1"/>
  <c r="G40" i="13"/>
  <c r="G37" i="13" s="1"/>
  <c r="G29" i="13"/>
  <c r="J24" i="13"/>
  <c r="I24" i="13"/>
  <c r="I20" i="13"/>
  <c r="I19" i="13"/>
  <c r="J15" i="13"/>
  <c r="I15" i="13"/>
  <c r="H15" i="13"/>
  <c r="G15" i="13"/>
  <c r="J80" i="11"/>
  <c r="J79" i="11" s="1"/>
  <c r="I80" i="11"/>
  <c r="I79" i="11"/>
  <c r="H79" i="11"/>
  <c r="G79" i="11"/>
  <c r="I48" i="11"/>
  <c r="J48" i="11" s="1"/>
  <c r="I40" i="11"/>
  <c r="I37" i="11" s="1"/>
  <c r="G40" i="11"/>
  <c r="I42" i="11" s="1"/>
  <c r="G29" i="11"/>
  <c r="J24" i="11"/>
  <c r="I24" i="11"/>
  <c r="I20" i="11"/>
  <c r="I19" i="11"/>
  <c r="J15" i="11"/>
  <c r="I15" i="11"/>
  <c r="H15" i="11"/>
  <c r="G15" i="11"/>
  <c r="J80" i="10"/>
  <c r="J79" i="10" s="1"/>
  <c r="I80" i="10"/>
  <c r="I79" i="10" s="1"/>
  <c r="H79" i="10"/>
  <c r="G79" i="10"/>
  <c r="J48" i="10"/>
  <c r="J46" i="10" s="1"/>
  <c r="I48" i="10"/>
  <c r="I46" i="10"/>
  <c r="I40" i="10"/>
  <c r="G40" i="10" s="1"/>
  <c r="G29" i="10"/>
  <c r="J24" i="10"/>
  <c r="I24" i="10"/>
  <c r="I20" i="10"/>
  <c r="I19" i="10" s="1"/>
  <c r="J15" i="10"/>
  <c r="I15" i="10"/>
  <c r="H15" i="10"/>
  <c r="G15" i="10"/>
  <c r="J80" i="9"/>
  <c r="J79" i="9" s="1"/>
  <c r="I80" i="9"/>
  <c r="I79" i="9"/>
  <c r="H79" i="9"/>
  <c r="G79" i="9"/>
  <c r="I48" i="9"/>
  <c r="J48" i="9" s="1"/>
  <c r="I40" i="9"/>
  <c r="I37" i="9" s="1"/>
  <c r="G40" i="9"/>
  <c r="I42" i="9" s="1"/>
  <c r="G29" i="9"/>
  <c r="J24" i="9"/>
  <c r="I24" i="9"/>
  <c r="I20" i="9"/>
  <c r="I19" i="9"/>
  <c r="J15" i="9"/>
  <c r="I15" i="9"/>
  <c r="H15" i="9"/>
  <c r="G15" i="9"/>
  <c r="J80" i="7"/>
  <c r="J79" i="7" s="1"/>
  <c r="I80" i="7"/>
  <c r="I79" i="7"/>
  <c r="H79" i="7"/>
  <c r="G79" i="7"/>
  <c r="J48" i="7"/>
  <c r="J46" i="7" s="1"/>
  <c r="I48" i="7"/>
  <c r="I46" i="7"/>
  <c r="I40" i="7"/>
  <c r="G40" i="7" s="1"/>
  <c r="G29" i="7"/>
  <c r="J24" i="7"/>
  <c r="I24" i="7"/>
  <c r="I20" i="7"/>
  <c r="I19" i="7" s="1"/>
  <c r="J15" i="7"/>
  <c r="I15" i="7"/>
  <c r="H15" i="7"/>
  <c r="G15" i="7"/>
  <c r="J80" i="6"/>
  <c r="J79" i="6" s="1"/>
  <c r="I80" i="6"/>
  <c r="I79" i="6" s="1"/>
  <c r="H79" i="6"/>
  <c r="G79" i="6"/>
  <c r="J48" i="6"/>
  <c r="J46" i="6" s="1"/>
  <c r="I48" i="6"/>
  <c r="I46" i="6"/>
  <c r="I40" i="6"/>
  <c r="G40" i="6" s="1"/>
  <c r="G29" i="6"/>
  <c r="J24" i="6"/>
  <c r="I24" i="6"/>
  <c r="I20" i="6"/>
  <c r="I19" i="6" s="1"/>
  <c r="J15" i="6"/>
  <c r="I15" i="6"/>
  <c r="H15" i="6"/>
  <c r="G15" i="6"/>
  <c r="J80" i="5"/>
  <c r="J79" i="5" s="1"/>
  <c r="I80" i="5"/>
  <c r="I79" i="5"/>
  <c r="H79" i="5"/>
  <c r="G79" i="5"/>
  <c r="J48" i="5"/>
  <c r="J46" i="5" s="1"/>
  <c r="I48" i="5"/>
  <c r="I46" i="5"/>
  <c r="I40" i="5"/>
  <c r="G40" i="5" s="1"/>
  <c r="G29" i="5"/>
  <c r="J24" i="5"/>
  <c r="I24" i="5"/>
  <c r="I20" i="5"/>
  <c r="I19" i="5"/>
  <c r="J15" i="5"/>
  <c r="I15" i="5"/>
  <c r="H15" i="5"/>
  <c r="G15" i="5"/>
  <c r="J80" i="3"/>
  <c r="J79" i="3" s="1"/>
  <c r="I80" i="3"/>
  <c r="I79" i="3" s="1"/>
  <c r="H79" i="3"/>
  <c r="G79" i="3"/>
  <c r="J48" i="3"/>
  <c r="J46" i="3" s="1"/>
  <c r="I48" i="3"/>
  <c r="I46" i="3"/>
  <c r="I40" i="3"/>
  <c r="G40" i="3" s="1"/>
  <c r="G29" i="3"/>
  <c r="J24" i="3"/>
  <c r="I24" i="3"/>
  <c r="I20" i="3"/>
  <c r="I19" i="3" s="1"/>
  <c r="J15" i="3"/>
  <c r="I15" i="3"/>
  <c r="H15" i="3"/>
  <c r="G15" i="3"/>
  <c r="J80" i="2"/>
  <c r="J79" i="2" s="1"/>
  <c r="I80" i="2"/>
  <c r="I79" i="2" s="1"/>
  <c r="H79" i="2"/>
  <c r="G79" i="2"/>
  <c r="J48" i="2"/>
  <c r="J46" i="2" s="1"/>
  <c r="I48" i="2"/>
  <c r="I46" i="2"/>
  <c r="I40" i="2"/>
  <c r="G40" i="2" s="1"/>
  <c r="G29" i="2"/>
  <c r="J24" i="2"/>
  <c r="I24" i="2"/>
  <c r="I20" i="2"/>
  <c r="I19" i="2" s="1"/>
  <c r="J15" i="2"/>
  <c r="I15" i="2"/>
  <c r="H15" i="2"/>
  <c r="G15" i="2"/>
  <c r="J80" i="1"/>
  <c r="J79" i="1" s="1"/>
  <c r="I80" i="1"/>
  <c r="I79" i="1" s="1"/>
  <c r="H79" i="1"/>
  <c r="G79" i="1"/>
  <c r="J48" i="1"/>
  <c r="J46" i="1" s="1"/>
  <c r="I48" i="1"/>
  <c r="I46" i="1"/>
  <c r="I40" i="1"/>
  <c r="G40" i="1" s="1"/>
  <c r="G29" i="1"/>
  <c r="J24" i="1"/>
  <c r="I24" i="1"/>
  <c r="I20" i="1"/>
  <c r="I19" i="1"/>
  <c r="J15" i="1"/>
  <c r="I15" i="1"/>
  <c r="H15" i="1"/>
  <c r="G15" i="1"/>
  <c r="I42" i="15" l="1"/>
  <c r="G37" i="15"/>
  <c r="I37" i="15"/>
  <c r="I42" i="14"/>
  <c r="G37" i="14"/>
  <c r="I37" i="14"/>
  <c r="J46" i="13"/>
  <c r="I42" i="13"/>
  <c r="I46" i="13"/>
  <c r="J46" i="11"/>
  <c r="G51" i="11"/>
  <c r="I41" i="11"/>
  <c r="G37" i="11"/>
  <c r="I46" i="11"/>
  <c r="I42" i="10"/>
  <c r="G37" i="10"/>
  <c r="I37" i="10"/>
  <c r="J46" i="9"/>
  <c r="G51" i="9"/>
  <c r="I41" i="9"/>
  <c r="G37" i="9"/>
  <c r="I46" i="9"/>
  <c r="I42" i="7"/>
  <c r="G37" i="7"/>
  <c r="I37" i="7"/>
  <c r="I42" i="6"/>
  <c r="G37" i="6"/>
  <c r="I37" i="6"/>
  <c r="I42" i="5"/>
  <c r="G37" i="5"/>
  <c r="I37" i="5"/>
  <c r="I42" i="3"/>
  <c r="G37" i="3"/>
  <c r="I37" i="3"/>
  <c r="I42" i="2"/>
  <c r="G37" i="2"/>
  <c r="I37" i="2"/>
  <c r="I42" i="1"/>
  <c r="G37" i="1"/>
  <c r="I37" i="1"/>
  <c r="G69" i="15"/>
  <c r="G68" i="15" s="1"/>
  <c r="H69" i="15"/>
  <c r="H68" i="15" s="1"/>
  <c r="I69" i="15"/>
  <c r="I68" i="15" s="1"/>
  <c r="J69" i="15"/>
  <c r="J68" i="15" s="1"/>
  <c r="G51" i="15" l="1"/>
  <c r="I41" i="15"/>
  <c r="G51" i="14"/>
  <c r="I41" i="14"/>
  <c r="G51" i="13"/>
  <c r="I41" i="13"/>
  <c r="G51" i="10"/>
  <c r="I41" i="10"/>
  <c r="G51" i="7"/>
  <c r="I41" i="7"/>
  <c r="G51" i="6"/>
  <c r="I41" i="6"/>
  <c r="G51" i="5"/>
  <c r="I41" i="5"/>
  <c r="G51" i="3"/>
  <c r="I41" i="3"/>
  <c r="G51" i="2"/>
  <c r="I41" i="2"/>
  <c r="G51" i="1"/>
  <c r="I41" i="1"/>
  <c r="F86" i="2"/>
  <c r="F85" i="2"/>
  <c r="F84" i="2"/>
  <c r="F83" i="2"/>
  <c r="F82" i="2"/>
  <c r="F81" i="2"/>
  <c r="F78" i="2"/>
  <c r="F77" i="2"/>
  <c r="F76" i="2"/>
  <c r="F75" i="2"/>
  <c r="F74" i="2"/>
  <c r="F72" i="2"/>
  <c r="F71" i="2"/>
  <c r="F70" i="2"/>
  <c r="J69" i="2"/>
  <c r="I69" i="2"/>
  <c r="I68" i="2" s="1"/>
  <c r="H69" i="2"/>
  <c r="H68" i="2" s="1"/>
  <c r="G69" i="2"/>
  <c r="J68" i="2"/>
  <c r="G68" i="2"/>
  <c r="F67" i="2"/>
  <c r="F66" i="2"/>
  <c r="F65" i="2"/>
  <c r="F64" i="2"/>
  <c r="F63" i="2"/>
  <c r="F61" i="2"/>
  <c r="F60" i="2"/>
  <c r="H57" i="2"/>
  <c r="F56" i="2"/>
  <c r="F54" i="2"/>
  <c r="F53" i="2"/>
  <c r="F52" i="2"/>
  <c r="F50" i="2"/>
  <c r="F49" i="2"/>
  <c r="J59" i="2"/>
  <c r="I59" i="2"/>
  <c r="F59" i="2" s="1"/>
  <c r="F47" i="2"/>
  <c r="F45" i="2"/>
  <c r="F43" i="2"/>
  <c r="F39" i="2"/>
  <c r="F38" i="2"/>
  <c r="G35" i="2"/>
  <c r="F34" i="2"/>
  <c r="F32" i="2"/>
  <c r="F31" i="2"/>
  <c r="F30" i="2"/>
  <c r="F28" i="2"/>
  <c r="F27" i="2"/>
  <c r="F26" i="2"/>
  <c r="F25" i="2"/>
  <c r="F24" i="2"/>
  <c r="F23" i="2"/>
  <c r="F21" i="2"/>
  <c r="F20" i="2"/>
  <c r="F18" i="2"/>
  <c r="F17" i="2"/>
  <c r="F16" i="2"/>
  <c r="H35" i="2"/>
  <c r="F86" i="1"/>
  <c r="F85" i="1"/>
  <c r="F84" i="1"/>
  <c r="F83" i="1"/>
  <c r="F82" i="1"/>
  <c r="F81" i="1"/>
  <c r="F78" i="1"/>
  <c r="F77" i="1"/>
  <c r="F76" i="1"/>
  <c r="F75" i="1"/>
  <c r="F74" i="1"/>
  <c r="F72" i="1"/>
  <c r="F71" i="1"/>
  <c r="F70" i="1"/>
  <c r="I69" i="1"/>
  <c r="I68" i="1" s="1"/>
  <c r="H69" i="1"/>
  <c r="H68" i="1" s="1"/>
  <c r="G69" i="1"/>
  <c r="G68" i="1" s="1"/>
  <c r="F67" i="1"/>
  <c r="F66" i="1"/>
  <c r="F65" i="1"/>
  <c r="F64" i="1"/>
  <c r="F63" i="1"/>
  <c r="F61" i="1"/>
  <c r="F60" i="1"/>
  <c r="H57" i="1"/>
  <c r="F56" i="1"/>
  <c r="F54" i="1"/>
  <c r="F53" i="1"/>
  <c r="F52" i="1"/>
  <c r="F50" i="1"/>
  <c r="F49" i="1"/>
  <c r="I59" i="1"/>
  <c r="F47" i="1"/>
  <c r="F45" i="1"/>
  <c r="F43" i="1"/>
  <c r="F40" i="1"/>
  <c r="F39" i="1"/>
  <c r="F38" i="1"/>
  <c r="F34" i="1"/>
  <c r="F32" i="1"/>
  <c r="F31" i="1"/>
  <c r="F30" i="1"/>
  <c r="F28" i="1"/>
  <c r="F27" i="1"/>
  <c r="F26" i="1"/>
  <c r="F25" i="1"/>
  <c r="F23" i="1"/>
  <c r="F21" i="1"/>
  <c r="F20" i="1"/>
  <c r="F18" i="1"/>
  <c r="F17" i="1"/>
  <c r="F16" i="1"/>
  <c r="H35" i="1"/>
  <c r="F68" i="2" l="1"/>
  <c r="F40" i="2"/>
  <c r="F46" i="2"/>
  <c r="F69" i="2"/>
  <c r="F48" i="2"/>
  <c r="F15" i="2"/>
  <c r="F24" i="1"/>
  <c r="F15" i="1"/>
  <c r="G35" i="1"/>
  <c r="J69" i="1"/>
  <c r="F48" i="1"/>
  <c r="I33" i="2" l="1"/>
  <c r="J33" i="2" s="1"/>
  <c r="J22" i="2" s="1"/>
  <c r="J19" i="2" s="1"/>
  <c r="I29" i="2" s="1"/>
  <c r="I33" i="1"/>
  <c r="J33" i="1" s="1"/>
  <c r="J22" i="1" s="1"/>
  <c r="J19" i="1" s="1"/>
  <c r="I29" i="1" s="1"/>
  <c r="F80" i="2"/>
  <c r="F79" i="2"/>
  <c r="F37" i="2"/>
  <c r="F42" i="2"/>
  <c r="F42" i="1"/>
  <c r="J59" i="1"/>
  <c r="F59" i="1" s="1"/>
  <c r="F46" i="1"/>
  <c r="G57" i="1"/>
  <c r="F37" i="1"/>
  <c r="J68" i="1"/>
  <c r="F68" i="1" s="1"/>
  <c r="F69" i="1"/>
  <c r="F79" i="1"/>
  <c r="I69" i="4"/>
  <c r="J26" i="4"/>
  <c r="J24" i="4" s="1"/>
  <c r="I26" i="4"/>
  <c r="I18" i="4"/>
  <c r="G18" i="4"/>
  <c r="F86" i="18"/>
  <c r="F85" i="18"/>
  <c r="F84" i="18"/>
  <c r="F83" i="18"/>
  <c r="F82" i="18"/>
  <c r="F81" i="18"/>
  <c r="F78" i="18"/>
  <c r="F77" i="18"/>
  <c r="F76" i="18"/>
  <c r="F75" i="18"/>
  <c r="F74" i="18"/>
  <c r="F72" i="18"/>
  <c r="F71" i="18"/>
  <c r="F70" i="18"/>
  <c r="F67" i="18"/>
  <c r="F66" i="18"/>
  <c r="F65" i="18"/>
  <c r="F64" i="18"/>
  <c r="F63" i="18"/>
  <c r="F61" i="18"/>
  <c r="F60" i="18"/>
  <c r="F59" i="18"/>
  <c r="F56" i="18"/>
  <c r="F54" i="18"/>
  <c r="F53" i="18"/>
  <c r="F52" i="18"/>
  <c r="F50" i="18"/>
  <c r="F49" i="18"/>
  <c r="F47" i="18"/>
  <c r="F45" i="18"/>
  <c r="F43" i="18"/>
  <c r="F39" i="18"/>
  <c r="F38" i="18"/>
  <c r="F34" i="18"/>
  <c r="F32" i="18"/>
  <c r="F31" i="18"/>
  <c r="F30" i="18"/>
  <c r="F28" i="18"/>
  <c r="F27" i="18"/>
  <c r="F25" i="18"/>
  <c r="F23" i="18"/>
  <c r="F21" i="18"/>
  <c r="F17" i="18"/>
  <c r="F16" i="18"/>
  <c r="D9" i="18"/>
  <c r="F86" i="15"/>
  <c r="F85" i="15"/>
  <c r="F84" i="15"/>
  <c r="F83" i="15"/>
  <c r="F82" i="15"/>
  <c r="F81" i="15"/>
  <c r="F78" i="15"/>
  <c r="F77" i="15"/>
  <c r="F76" i="15"/>
  <c r="F75" i="15"/>
  <c r="F74" i="15"/>
  <c r="F72" i="15"/>
  <c r="F71" i="15"/>
  <c r="F70" i="15"/>
  <c r="F67" i="15"/>
  <c r="F66" i="15"/>
  <c r="F65" i="15"/>
  <c r="F64" i="15"/>
  <c r="F63" i="15"/>
  <c r="F61" i="15"/>
  <c r="F60" i="15"/>
  <c r="H57" i="15"/>
  <c r="F56" i="15"/>
  <c r="F54" i="15"/>
  <c r="F53" i="15"/>
  <c r="F52" i="15"/>
  <c r="F50" i="15"/>
  <c r="F49" i="15"/>
  <c r="I59" i="15"/>
  <c r="F59" i="15" s="1"/>
  <c r="F47" i="15"/>
  <c r="F45" i="15"/>
  <c r="F43" i="15"/>
  <c r="F39" i="15"/>
  <c r="F38" i="15"/>
  <c r="G35" i="15"/>
  <c r="F34" i="15"/>
  <c r="F32" i="15"/>
  <c r="F31" i="15"/>
  <c r="F30" i="15"/>
  <c r="F28" i="15"/>
  <c r="F27" i="15"/>
  <c r="F26" i="15"/>
  <c r="F25" i="15"/>
  <c r="F24" i="15"/>
  <c r="F23" i="15"/>
  <c r="F21" i="15"/>
  <c r="F20" i="15"/>
  <c r="F18" i="15"/>
  <c r="F17" i="15"/>
  <c r="F16" i="15"/>
  <c r="H35" i="15"/>
  <c r="F15" i="15"/>
  <c r="F86" i="14"/>
  <c r="F85" i="14"/>
  <c r="F84" i="14"/>
  <c r="F83" i="14"/>
  <c r="F82" i="14"/>
  <c r="F81" i="14"/>
  <c r="J69" i="14"/>
  <c r="F78" i="14"/>
  <c r="F77" i="14"/>
  <c r="F76" i="14"/>
  <c r="F75" i="14"/>
  <c r="F74" i="14"/>
  <c r="F72" i="14"/>
  <c r="F71" i="14"/>
  <c r="F70" i="14"/>
  <c r="I69" i="14"/>
  <c r="I68" i="14"/>
  <c r="H69" i="14"/>
  <c r="H68" i="14" s="1"/>
  <c r="G69" i="14"/>
  <c r="G68" i="14"/>
  <c r="F67" i="14"/>
  <c r="F66" i="14"/>
  <c r="F65" i="14"/>
  <c r="F64" i="14"/>
  <c r="F63" i="14"/>
  <c r="F61" i="14"/>
  <c r="F60" i="14"/>
  <c r="H57" i="14"/>
  <c r="F56" i="14"/>
  <c r="F54" i="14"/>
  <c r="F53" i="14"/>
  <c r="F52" i="14"/>
  <c r="F50" i="14"/>
  <c r="F49" i="14"/>
  <c r="J59" i="14"/>
  <c r="I59" i="14"/>
  <c r="F59" i="14" s="1"/>
  <c r="F47" i="14"/>
  <c r="F45" i="14"/>
  <c r="F43" i="14"/>
  <c r="F39" i="14"/>
  <c r="F38" i="14"/>
  <c r="G35" i="14"/>
  <c r="F34" i="14"/>
  <c r="F32" i="14"/>
  <c r="F31" i="14"/>
  <c r="F30" i="14"/>
  <c r="F28" i="14"/>
  <c r="F27" i="14"/>
  <c r="F26" i="14"/>
  <c r="F25" i="14"/>
  <c r="F24" i="14"/>
  <c r="F23" i="14"/>
  <c r="F21" i="14"/>
  <c r="F20" i="14"/>
  <c r="F18" i="14"/>
  <c r="F17" i="14"/>
  <c r="F16" i="14"/>
  <c r="H35" i="14"/>
  <c r="F86" i="13"/>
  <c r="F85" i="13"/>
  <c r="F84" i="13"/>
  <c r="F83" i="13"/>
  <c r="F82" i="13"/>
  <c r="F81" i="13"/>
  <c r="F78" i="13"/>
  <c r="F77" i="13"/>
  <c r="F76" i="13"/>
  <c r="F75" i="13"/>
  <c r="F74" i="13"/>
  <c r="F72" i="13"/>
  <c r="F71" i="13"/>
  <c r="F70" i="13"/>
  <c r="J69" i="13"/>
  <c r="I69" i="13"/>
  <c r="H69" i="13"/>
  <c r="H68" i="13" s="1"/>
  <c r="G69" i="13"/>
  <c r="G68" i="13" s="1"/>
  <c r="J68" i="13"/>
  <c r="F67" i="13"/>
  <c r="F66" i="13"/>
  <c r="F65" i="13"/>
  <c r="F64" i="13"/>
  <c r="F63" i="13"/>
  <c r="F61" i="13"/>
  <c r="F60" i="13"/>
  <c r="H57" i="13"/>
  <c r="F56" i="13"/>
  <c r="F54" i="13"/>
  <c r="F53" i="13"/>
  <c r="F52" i="13"/>
  <c r="F50" i="13"/>
  <c r="F49" i="13"/>
  <c r="J59" i="13"/>
  <c r="I59" i="13"/>
  <c r="F47" i="13"/>
  <c r="F45" i="13"/>
  <c r="F43" i="13"/>
  <c r="F39" i="13"/>
  <c r="F38" i="13"/>
  <c r="H35" i="13"/>
  <c r="G35" i="13"/>
  <c r="F34" i="13"/>
  <c r="F32" i="13"/>
  <c r="F31" i="13"/>
  <c r="F30" i="13"/>
  <c r="F28" i="13"/>
  <c r="F27" i="13"/>
  <c r="F26" i="13"/>
  <c r="F25" i="13"/>
  <c r="F24" i="13"/>
  <c r="F23" i="13"/>
  <c r="F21" i="13"/>
  <c r="F20" i="13"/>
  <c r="F18" i="13"/>
  <c r="F17" i="13"/>
  <c r="F16" i="13"/>
  <c r="F86" i="11"/>
  <c r="F85" i="11"/>
  <c r="F84" i="11"/>
  <c r="F83" i="11"/>
  <c r="F82" i="11"/>
  <c r="F81" i="11"/>
  <c r="F78" i="11"/>
  <c r="F77" i="11"/>
  <c r="F76" i="11"/>
  <c r="F75" i="11"/>
  <c r="F74" i="11"/>
  <c r="F72" i="11"/>
  <c r="F71" i="11"/>
  <c r="F70" i="11"/>
  <c r="J69" i="11"/>
  <c r="I69" i="11"/>
  <c r="H69" i="11"/>
  <c r="H68" i="11" s="1"/>
  <c r="J68" i="11"/>
  <c r="G69" i="11"/>
  <c r="F69" i="11" s="1"/>
  <c r="F67" i="11"/>
  <c r="F66" i="11"/>
  <c r="F65" i="11"/>
  <c r="F64" i="11"/>
  <c r="F63" i="11"/>
  <c r="F61" i="11"/>
  <c r="F60" i="11"/>
  <c r="H57" i="11"/>
  <c r="F56" i="11"/>
  <c r="F54" i="11"/>
  <c r="F53" i="11"/>
  <c r="F52" i="11"/>
  <c r="F50" i="11"/>
  <c r="F49" i="11"/>
  <c r="I59" i="11"/>
  <c r="F47" i="11"/>
  <c r="F46" i="11"/>
  <c r="F45" i="11"/>
  <c r="F43" i="11"/>
  <c r="F39" i="11"/>
  <c r="F38" i="11"/>
  <c r="G35" i="11"/>
  <c r="F34" i="11"/>
  <c r="F32" i="11"/>
  <c r="F31" i="11"/>
  <c r="F30" i="11"/>
  <c r="F28" i="11"/>
  <c r="F27" i="11"/>
  <c r="F26" i="11"/>
  <c r="F25" i="11"/>
  <c r="F24" i="11"/>
  <c r="F23" i="11"/>
  <c r="F21" i="11"/>
  <c r="F20" i="11"/>
  <c r="F18" i="11"/>
  <c r="F17" i="11"/>
  <c r="F16" i="11"/>
  <c r="H35" i="11"/>
  <c r="F15" i="11"/>
  <c r="F86" i="10"/>
  <c r="F85" i="10"/>
  <c r="F84" i="10"/>
  <c r="F83" i="10"/>
  <c r="F82" i="10"/>
  <c r="F81" i="10"/>
  <c r="F78" i="10"/>
  <c r="F77" i="10"/>
  <c r="F76" i="10"/>
  <c r="F75" i="10"/>
  <c r="F74" i="10"/>
  <c r="F72" i="10"/>
  <c r="F71" i="10"/>
  <c r="F70" i="10"/>
  <c r="J69" i="10"/>
  <c r="I69" i="10"/>
  <c r="H69" i="10"/>
  <c r="F69" i="10" s="1"/>
  <c r="G69" i="10"/>
  <c r="G68" i="10"/>
  <c r="F67" i="10"/>
  <c r="F66" i="10"/>
  <c r="F65" i="10"/>
  <c r="F64" i="10"/>
  <c r="F63" i="10"/>
  <c r="F61" i="10"/>
  <c r="F60" i="10"/>
  <c r="H57" i="10"/>
  <c r="F56" i="10"/>
  <c r="F54" i="10"/>
  <c r="F53" i="10"/>
  <c r="F52" i="10"/>
  <c r="F50" i="10"/>
  <c r="F49" i="10"/>
  <c r="J59" i="10"/>
  <c r="I59" i="10"/>
  <c r="F47" i="10"/>
  <c r="F45" i="10"/>
  <c r="F43" i="10"/>
  <c r="F39" i="10"/>
  <c r="F38" i="10"/>
  <c r="G35" i="10"/>
  <c r="F34" i="10"/>
  <c r="F32" i="10"/>
  <c r="F31" i="10"/>
  <c r="F30" i="10"/>
  <c r="F28" i="10"/>
  <c r="F27" i="10"/>
  <c r="F26" i="10"/>
  <c r="F25" i="10"/>
  <c r="F24" i="10"/>
  <c r="F23" i="10"/>
  <c r="F21" i="10"/>
  <c r="F20" i="10"/>
  <c r="F18" i="10"/>
  <c r="F17" i="10"/>
  <c r="F16" i="10"/>
  <c r="H35" i="10"/>
  <c r="F86" i="9"/>
  <c r="F85" i="9"/>
  <c r="F84" i="9"/>
  <c r="F83" i="9"/>
  <c r="F82" i="9"/>
  <c r="F81" i="9"/>
  <c r="F78" i="9"/>
  <c r="F77" i="9"/>
  <c r="F76" i="9"/>
  <c r="F75" i="9"/>
  <c r="F74" i="9"/>
  <c r="F72" i="9"/>
  <c r="F71" i="9"/>
  <c r="F70" i="9"/>
  <c r="J69" i="9"/>
  <c r="I69" i="9"/>
  <c r="H69" i="9"/>
  <c r="H68" i="9" s="1"/>
  <c r="G69" i="9"/>
  <c r="J68" i="9"/>
  <c r="G68" i="9"/>
  <c r="F67" i="9"/>
  <c r="F66" i="9"/>
  <c r="F65" i="9"/>
  <c r="F64" i="9"/>
  <c r="F63" i="9"/>
  <c r="F61" i="9"/>
  <c r="F60" i="9"/>
  <c r="H57" i="9"/>
  <c r="F56" i="9"/>
  <c r="F54" i="9"/>
  <c r="F53" i="9"/>
  <c r="F52" i="9"/>
  <c r="F50" i="9"/>
  <c r="F49" i="9"/>
  <c r="F46" i="9"/>
  <c r="I59" i="9"/>
  <c r="F47" i="9"/>
  <c r="F45" i="9"/>
  <c r="F43" i="9"/>
  <c r="F39" i="9"/>
  <c r="F38" i="9"/>
  <c r="G35" i="9"/>
  <c r="F34" i="9"/>
  <c r="F32" i="9"/>
  <c r="F31" i="9"/>
  <c r="F30" i="9"/>
  <c r="F28" i="9"/>
  <c r="F27" i="9"/>
  <c r="F26" i="9"/>
  <c r="F25" i="9"/>
  <c r="F24" i="9"/>
  <c r="F23" i="9"/>
  <c r="F21" i="9"/>
  <c r="F20" i="9"/>
  <c r="F18" i="9"/>
  <c r="F17" i="9"/>
  <c r="F16" i="9"/>
  <c r="H35" i="9"/>
  <c r="F86" i="7"/>
  <c r="F85" i="7"/>
  <c r="F84" i="7"/>
  <c r="F83" i="7"/>
  <c r="F82" i="7"/>
  <c r="F81" i="7"/>
  <c r="F78" i="7"/>
  <c r="F77" i="7"/>
  <c r="F76" i="7"/>
  <c r="F75" i="7"/>
  <c r="F74" i="7"/>
  <c r="F72" i="7"/>
  <c r="F71" i="7"/>
  <c r="F70" i="7"/>
  <c r="J69" i="7"/>
  <c r="I69" i="7"/>
  <c r="I68" i="7"/>
  <c r="H69" i="7"/>
  <c r="H68" i="7" s="1"/>
  <c r="G69" i="7"/>
  <c r="G68" i="7"/>
  <c r="F67" i="7"/>
  <c r="F66" i="7"/>
  <c r="F65" i="7"/>
  <c r="F64" i="7"/>
  <c r="F63" i="7"/>
  <c r="F61" i="7"/>
  <c r="F60" i="7"/>
  <c r="H57" i="7"/>
  <c r="F56" i="7"/>
  <c r="F54" i="7"/>
  <c r="F53" i="7"/>
  <c r="F52" i="7"/>
  <c r="F50" i="7"/>
  <c r="F49" i="7"/>
  <c r="J59" i="7"/>
  <c r="I59" i="7"/>
  <c r="F59" i="7" s="1"/>
  <c r="F47" i="7"/>
  <c r="F45" i="7"/>
  <c r="F43" i="7"/>
  <c r="F39" i="7"/>
  <c r="F38" i="7"/>
  <c r="G35" i="7"/>
  <c r="F34" i="7"/>
  <c r="F32" i="7"/>
  <c r="F31" i="7"/>
  <c r="F30" i="7"/>
  <c r="F28" i="7"/>
  <c r="F27" i="7"/>
  <c r="F26" i="7"/>
  <c r="F25" i="7"/>
  <c r="F24" i="7"/>
  <c r="F23" i="7"/>
  <c r="F21" i="7"/>
  <c r="F20" i="7"/>
  <c r="F18" i="7"/>
  <c r="F17" i="7"/>
  <c r="F16" i="7"/>
  <c r="H35" i="7"/>
  <c r="F15" i="7"/>
  <c r="F86" i="6"/>
  <c r="F85" i="6"/>
  <c r="F84" i="6"/>
  <c r="F83" i="6"/>
  <c r="F82" i="6"/>
  <c r="F81" i="6"/>
  <c r="F78" i="6"/>
  <c r="F77" i="6"/>
  <c r="F76" i="6"/>
  <c r="F75" i="6"/>
  <c r="F74" i="6"/>
  <c r="F72" i="6"/>
  <c r="F71" i="6"/>
  <c r="F70" i="6"/>
  <c r="J69" i="6"/>
  <c r="I69" i="6"/>
  <c r="H69" i="6"/>
  <c r="H68" i="6" s="1"/>
  <c r="G69" i="6"/>
  <c r="G68" i="6" s="1"/>
  <c r="J68" i="6"/>
  <c r="F67" i="6"/>
  <c r="F66" i="6"/>
  <c r="F65" i="6"/>
  <c r="F64" i="6"/>
  <c r="F63" i="6"/>
  <c r="F61" i="6"/>
  <c r="F60" i="6"/>
  <c r="H57" i="6"/>
  <c r="F56" i="6"/>
  <c r="F54" i="6"/>
  <c r="F53" i="6"/>
  <c r="F52" i="6"/>
  <c r="F50" i="6"/>
  <c r="F49" i="6"/>
  <c r="J59" i="6"/>
  <c r="F59" i="6" s="1"/>
  <c r="I59" i="6"/>
  <c r="F47" i="6"/>
  <c r="F45" i="6"/>
  <c r="F43" i="6"/>
  <c r="F39" i="6"/>
  <c r="F38" i="6"/>
  <c r="G35" i="6"/>
  <c r="F34" i="6"/>
  <c r="F32" i="6"/>
  <c r="F31" i="6"/>
  <c r="F30" i="6"/>
  <c r="F28" i="6"/>
  <c r="F27" i="6"/>
  <c r="F26" i="6"/>
  <c r="F25" i="6"/>
  <c r="F24" i="6"/>
  <c r="F23" i="6"/>
  <c r="F21" i="6"/>
  <c r="F20" i="6"/>
  <c r="F18" i="6"/>
  <c r="F17" i="6"/>
  <c r="F16" i="6"/>
  <c r="H35" i="6"/>
  <c r="F15" i="6"/>
  <c r="F86" i="5"/>
  <c r="F85" i="5"/>
  <c r="F84" i="5"/>
  <c r="F83" i="5"/>
  <c r="F82" i="5"/>
  <c r="F81" i="5"/>
  <c r="F78" i="5"/>
  <c r="F77" i="5"/>
  <c r="F76" i="5"/>
  <c r="F75" i="5"/>
  <c r="F74" i="5"/>
  <c r="F72" i="5"/>
  <c r="F71" i="5"/>
  <c r="F70" i="5"/>
  <c r="J69" i="5"/>
  <c r="I69" i="5"/>
  <c r="H69" i="5"/>
  <c r="H68" i="5" s="1"/>
  <c r="G69" i="5"/>
  <c r="G68" i="5" s="1"/>
  <c r="F67" i="5"/>
  <c r="F66" i="5"/>
  <c r="F65" i="5"/>
  <c r="F64" i="5"/>
  <c r="F63" i="5"/>
  <c r="F61" i="5"/>
  <c r="F60" i="5"/>
  <c r="H57" i="5"/>
  <c r="F56" i="5"/>
  <c r="F54" i="5"/>
  <c r="F53" i="5"/>
  <c r="F52" i="5"/>
  <c r="F50" i="5"/>
  <c r="F49" i="5"/>
  <c r="J59" i="5"/>
  <c r="I59" i="5"/>
  <c r="F47" i="5"/>
  <c r="F46" i="5"/>
  <c r="F45" i="5"/>
  <c r="F43" i="5"/>
  <c r="F39" i="5"/>
  <c r="F38" i="5"/>
  <c r="F34" i="5"/>
  <c r="F32" i="5"/>
  <c r="F31" i="5"/>
  <c r="F30" i="5"/>
  <c r="F28" i="5"/>
  <c r="F27" i="5"/>
  <c r="F26" i="5"/>
  <c r="F25" i="5"/>
  <c r="F24" i="5"/>
  <c r="F23" i="5"/>
  <c r="F21" i="5"/>
  <c r="F20" i="5"/>
  <c r="F18" i="5"/>
  <c r="F17" i="5"/>
  <c r="F16" i="5"/>
  <c r="H35" i="5"/>
  <c r="F15" i="5"/>
  <c r="F86" i="3"/>
  <c r="F85" i="3"/>
  <c r="F84" i="3"/>
  <c r="F83" i="3"/>
  <c r="F82" i="3"/>
  <c r="F81" i="3"/>
  <c r="F78" i="3"/>
  <c r="F77" i="3"/>
  <c r="F76" i="3"/>
  <c r="F75" i="3"/>
  <c r="F74" i="3"/>
  <c r="F72" i="3"/>
  <c r="F71" i="3"/>
  <c r="F70" i="3"/>
  <c r="J69" i="3"/>
  <c r="I69" i="3"/>
  <c r="I68" i="3"/>
  <c r="I68" i="4" s="1"/>
  <c r="H69" i="3"/>
  <c r="H68" i="3" s="1"/>
  <c r="H68" i="4" s="1"/>
  <c r="G69" i="3"/>
  <c r="G68" i="3" s="1"/>
  <c r="F67" i="3"/>
  <c r="F66" i="3"/>
  <c r="F65" i="3"/>
  <c r="F64" i="3"/>
  <c r="F63" i="3"/>
  <c r="F61" i="3"/>
  <c r="F60" i="3"/>
  <c r="H57" i="3"/>
  <c r="F56" i="3"/>
  <c r="F54" i="3"/>
  <c r="F53" i="3"/>
  <c r="F52" i="3"/>
  <c r="F50" i="3"/>
  <c r="F49" i="3"/>
  <c r="J59" i="3"/>
  <c r="F59" i="3" s="1"/>
  <c r="I59" i="3"/>
  <c r="F47" i="3"/>
  <c r="F45" i="3"/>
  <c r="F43" i="3"/>
  <c r="F39" i="3"/>
  <c r="F38" i="3"/>
  <c r="G35" i="3"/>
  <c r="F34" i="3"/>
  <c r="F32" i="3"/>
  <c r="F31" i="3"/>
  <c r="F30" i="3"/>
  <c r="F28" i="3"/>
  <c r="F27" i="3"/>
  <c r="F26" i="3"/>
  <c r="F25" i="3"/>
  <c r="F24" i="3"/>
  <c r="F23" i="3"/>
  <c r="F21" i="3"/>
  <c r="F20" i="3"/>
  <c r="F18" i="3"/>
  <c r="F17" i="3"/>
  <c r="F16" i="3"/>
  <c r="H35" i="3"/>
  <c r="F15" i="3"/>
  <c r="F40" i="15"/>
  <c r="F46" i="15"/>
  <c r="J59" i="15"/>
  <c r="F69" i="15"/>
  <c r="F48" i="15"/>
  <c r="F40" i="14"/>
  <c r="F15" i="14"/>
  <c r="F48" i="14"/>
  <c r="F46" i="14"/>
  <c r="F40" i="13"/>
  <c r="F15" i="13"/>
  <c r="F48" i="13"/>
  <c r="F46" i="13"/>
  <c r="F40" i="11"/>
  <c r="F59" i="11"/>
  <c r="J59" i="11"/>
  <c r="F48" i="11"/>
  <c r="F40" i="10"/>
  <c r="F15" i="10"/>
  <c r="F48" i="10"/>
  <c r="F46" i="10"/>
  <c r="F40" i="9"/>
  <c r="F59" i="9"/>
  <c r="J59" i="9"/>
  <c r="F15" i="9"/>
  <c r="F48" i="9"/>
  <c r="F40" i="7"/>
  <c r="F46" i="7"/>
  <c r="F48" i="7"/>
  <c r="F40" i="6"/>
  <c r="F46" i="6"/>
  <c r="F48" i="6"/>
  <c r="F40" i="5"/>
  <c r="F59" i="5"/>
  <c r="G35" i="5"/>
  <c r="F48" i="5"/>
  <c r="F46" i="3"/>
  <c r="F40" i="3"/>
  <c r="F48" i="3"/>
  <c r="F37" i="15"/>
  <c r="F42" i="15"/>
  <c r="F37" i="14"/>
  <c r="G57" i="14"/>
  <c r="F42" i="14"/>
  <c r="F42" i="13"/>
  <c r="F37" i="13"/>
  <c r="G57" i="13"/>
  <c r="F42" i="11"/>
  <c r="G57" i="11"/>
  <c r="F37" i="11"/>
  <c r="F37" i="10"/>
  <c r="G57" i="10"/>
  <c r="F42" i="10"/>
  <c r="F42" i="9"/>
  <c r="F37" i="9"/>
  <c r="G57" i="9"/>
  <c r="G57" i="7"/>
  <c r="F37" i="7"/>
  <c r="F79" i="7"/>
  <c r="F42" i="7"/>
  <c r="F37" i="6"/>
  <c r="F42" i="6"/>
  <c r="G57" i="6"/>
  <c r="F42" i="5"/>
  <c r="G57" i="5"/>
  <c r="F37" i="5"/>
  <c r="F42" i="3"/>
  <c r="G57" i="3"/>
  <c r="F37" i="3"/>
  <c r="F86" i="17"/>
  <c r="F85" i="17"/>
  <c r="F84" i="17"/>
  <c r="F83" i="17"/>
  <c r="F82" i="17"/>
  <c r="F81" i="17"/>
  <c r="F78" i="17"/>
  <c r="F77" i="17"/>
  <c r="F76" i="17"/>
  <c r="F75" i="17"/>
  <c r="F74" i="17"/>
  <c r="F72" i="17"/>
  <c r="F71" i="17"/>
  <c r="F70" i="17"/>
  <c r="F67" i="17"/>
  <c r="F66" i="17"/>
  <c r="F65" i="17"/>
  <c r="F64" i="17"/>
  <c r="F63" i="17"/>
  <c r="F61" i="17"/>
  <c r="F60" i="17"/>
  <c r="F59" i="17"/>
  <c r="F56" i="17"/>
  <c r="F54" i="17"/>
  <c r="F53" i="17"/>
  <c r="F52" i="17"/>
  <c r="F50" i="17"/>
  <c r="F49" i="17"/>
  <c r="F47" i="17"/>
  <c r="F45" i="17"/>
  <c r="F43" i="17"/>
  <c r="F39" i="17"/>
  <c r="F38" i="17"/>
  <c r="F34" i="17"/>
  <c r="F32" i="17"/>
  <c r="F31" i="17"/>
  <c r="F30" i="17"/>
  <c r="F28" i="17"/>
  <c r="F27" i="17"/>
  <c r="F25" i="17"/>
  <c r="F23" i="17"/>
  <c r="F21" i="17"/>
  <c r="F17" i="17"/>
  <c r="F16" i="17"/>
  <c r="D9" i="17"/>
  <c r="H55" i="16"/>
  <c r="G55" i="16"/>
  <c r="J48" i="16"/>
  <c r="J46" i="16" s="1"/>
  <c r="I48" i="16"/>
  <c r="I46" i="16" s="1"/>
  <c r="H48" i="16"/>
  <c r="H46" i="16" s="1"/>
  <c r="G48" i="16"/>
  <c r="G46" i="16" s="1"/>
  <c r="H40" i="16"/>
  <c r="H37" i="16" s="1"/>
  <c r="I40" i="16"/>
  <c r="I37" i="16" s="1"/>
  <c r="J40" i="16"/>
  <c r="J37" i="16" s="1"/>
  <c r="G40" i="16"/>
  <c r="I42" i="16" s="1"/>
  <c r="H80" i="16"/>
  <c r="G80" i="16"/>
  <c r="H79" i="16"/>
  <c r="G79" i="16"/>
  <c r="H33" i="16"/>
  <c r="G33" i="16"/>
  <c r="J26" i="16"/>
  <c r="J24" i="16" s="1"/>
  <c r="I26" i="16"/>
  <c r="I24" i="16" s="1"/>
  <c r="H26" i="16"/>
  <c r="H24" i="16" s="1"/>
  <c r="G26" i="16"/>
  <c r="G24" i="16" s="1"/>
  <c r="H18" i="16"/>
  <c r="I18" i="16"/>
  <c r="J18" i="16"/>
  <c r="J15" i="16" s="1"/>
  <c r="G18" i="16"/>
  <c r="G29" i="16" s="1"/>
  <c r="F86" i="16"/>
  <c r="F85" i="16"/>
  <c r="F84" i="16"/>
  <c r="F83" i="16"/>
  <c r="F82" i="16"/>
  <c r="F81" i="16"/>
  <c r="F78" i="16"/>
  <c r="F77" i="16"/>
  <c r="F76" i="16"/>
  <c r="F75" i="16"/>
  <c r="F74" i="16"/>
  <c r="F72" i="16"/>
  <c r="F71" i="16"/>
  <c r="F70" i="16"/>
  <c r="F67" i="16"/>
  <c r="F66" i="16"/>
  <c r="F65" i="16"/>
  <c r="F64" i="16"/>
  <c r="F63" i="16"/>
  <c r="F61" i="16"/>
  <c r="F60" i="16"/>
  <c r="F59" i="16"/>
  <c r="F56" i="16"/>
  <c r="F54" i="16"/>
  <c r="F53" i="16"/>
  <c r="F52" i="16"/>
  <c r="F50" i="16"/>
  <c r="F49" i="16"/>
  <c r="F47" i="16"/>
  <c r="F45" i="16"/>
  <c r="F43" i="16"/>
  <c r="F39" i="16"/>
  <c r="F38" i="16"/>
  <c r="F34" i="16"/>
  <c r="F32" i="16"/>
  <c r="F31" i="16"/>
  <c r="F30" i="16"/>
  <c r="F28" i="16"/>
  <c r="F27" i="16"/>
  <c r="F25" i="16"/>
  <c r="F23" i="16"/>
  <c r="F21" i="16"/>
  <c r="F17" i="16"/>
  <c r="F16" i="16"/>
  <c r="D9" i="16"/>
  <c r="H55" i="12"/>
  <c r="G55" i="12"/>
  <c r="J48" i="12"/>
  <c r="J46" i="12" s="1"/>
  <c r="I48" i="12"/>
  <c r="I46" i="12" s="1"/>
  <c r="H48" i="12"/>
  <c r="G48" i="12"/>
  <c r="G46" i="12" s="1"/>
  <c r="H40" i="12"/>
  <c r="H37" i="12" s="1"/>
  <c r="I40" i="12"/>
  <c r="I37" i="12" s="1"/>
  <c r="J40" i="12"/>
  <c r="J37" i="12" s="1"/>
  <c r="G40" i="12"/>
  <c r="G37" i="12" s="1"/>
  <c r="H33" i="12"/>
  <c r="G33" i="12"/>
  <c r="H55" i="8"/>
  <c r="G55" i="8"/>
  <c r="H33" i="8"/>
  <c r="G33" i="8"/>
  <c r="H80" i="12"/>
  <c r="G80" i="12"/>
  <c r="H79" i="12"/>
  <c r="G79" i="12"/>
  <c r="J26" i="12"/>
  <c r="I26" i="12"/>
  <c r="I24" i="12" s="1"/>
  <c r="H26" i="12"/>
  <c r="G26" i="12"/>
  <c r="H18" i="12"/>
  <c r="I18" i="12"/>
  <c r="I15" i="12" s="1"/>
  <c r="J18" i="12"/>
  <c r="J15" i="12" s="1"/>
  <c r="G18" i="12"/>
  <c r="G29" i="12" s="1"/>
  <c r="F86" i="12"/>
  <c r="F85" i="12"/>
  <c r="F84" i="12"/>
  <c r="F83" i="12"/>
  <c r="F82" i="12"/>
  <c r="F81" i="12"/>
  <c r="F78" i="12"/>
  <c r="F77" i="12"/>
  <c r="F76" i="12"/>
  <c r="F75" i="12"/>
  <c r="F74" i="12"/>
  <c r="F72" i="12"/>
  <c r="F71" i="12"/>
  <c r="F70" i="12"/>
  <c r="F67" i="12"/>
  <c r="F66" i="12"/>
  <c r="F65" i="12"/>
  <c r="F64" i="12"/>
  <c r="F63" i="12"/>
  <c r="F61" i="12"/>
  <c r="F60" i="12"/>
  <c r="F59" i="12"/>
  <c r="F56" i="12"/>
  <c r="F54" i="12"/>
  <c r="F53" i="12"/>
  <c r="F52" i="12"/>
  <c r="F50" i="12"/>
  <c r="F49" i="12"/>
  <c r="H46" i="12"/>
  <c r="F47" i="12"/>
  <c r="F45" i="12"/>
  <c r="F43" i="12"/>
  <c r="F39" i="12"/>
  <c r="F38" i="12"/>
  <c r="F34" i="12"/>
  <c r="F32" i="12"/>
  <c r="F31" i="12"/>
  <c r="F30" i="12"/>
  <c r="F28" i="12"/>
  <c r="F27" i="12"/>
  <c r="F25" i="12"/>
  <c r="F23" i="12"/>
  <c r="F21" i="12"/>
  <c r="F17" i="12"/>
  <c r="F16" i="12"/>
  <c r="D9" i="12"/>
  <c r="G80" i="4"/>
  <c r="H80" i="4"/>
  <c r="H79" i="4"/>
  <c r="H80" i="8"/>
  <c r="G80" i="8"/>
  <c r="H79" i="8"/>
  <c r="G79" i="8"/>
  <c r="I69" i="8"/>
  <c r="H48" i="8"/>
  <c r="H46" i="8" s="1"/>
  <c r="I48" i="8"/>
  <c r="J48" i="8"/>
  <c r="J46" i="8" s="1"/>
  <c r="G48" i="8"/>
  <c r="G46" i="8" s="1"/>
  <c r="H40" i="8"/>
  <c r="H37" i="8" s="1"/>
  <c r="I40" i="8"/>
  <c r="I37" i="8" s="1"/>
  <c r="J40" i="8"/>
  <c r="G40" i="8"/>
  <c r="I42" i="8" s="1"/>
  <c r="H18" i="8"/>
  <c r="I18" i="8"/>
  <c r="I15" i="8" s="1"/>
  <c r="J18" i="8"/>
  <c r="J15" i="8" s="1"/>
  <c r="I26" i="8"/>
  <c r="I24" i="8" s="1"/>
  <c r="J26" i="8"/>
  <c r="J24" i="8" s="1"/>
  <c r="H26" i="8"/>
  <c r="H24" i="8" s="1"/>
  <c r="G26" i="8"/>
  <c r="G24" i="8" s="1"/>
  <c r="G18" i="8"/>
  <c r="I20" i="8" s="1"/>
  <c r="I19" i="8" s="1"/>
  <c r="G57" i="15"/>
  <c r="G24" i="12"/>
  <c r="I15" i="16"/>
  <c r="F86" i="8"/>
  <c r="F85" i="8"/>
  <c r="F84" i="8"/>
  <c r="F83" i="8"/>
  <c r="F82" i="8"/>
  <c r="F81" i="8"/>
  <c r="F78" i="8"/>
  <c r="F77" i="8"/>
  <c r="F76" i="8"/>
  <c r="F75" i="8"/>
  <c r="F74" i="8"/>
  <c r="F72" i="8"/>
  <c r="F71" i="8"/>
  <c r="F70" i="8"/>
  <c r="F67" i="8"/>
  <c r="F66" i="8"/>
  <c r="F65" i="8"/>
  <c r="F64" i="8"/>
  <c r="F63" i="8"/>
  <c r="F61" i="8"/>
  <c r="F60" i="8"/>
  <c r="F59" i="8"/>
  <c r="F56" i="8"/>
  <c r="F54" i="8"/>
  <c r="F53" i="8"/>
  <c r="F52" i="8"/>
  <c r="F50" i="8"/>
  <c r="F49" i="8"/>
  <c r="F47" i="8"/>
  <c r="F45" i="8"/>
  <c r="F43" i="8"/>
  <c r="F39" i="8"/>
  <c r="F38" i="8"/>
  <c r="F34" i="8"/>
  <c r="F32" i="8"/>
  <c r="F31" i="8"/>
  <c r="F30" i="8"/>
  <c r="F28" i="8"/>
  <c r="F27" i="8"/>
  <c r="F25" i="8"/>
  <c r="F23" i="8"/>
  <c r="F21" i="8"/>
  <c r="F17" i="8"/>
  <c r="F16" i="8"/>
  <c r="D9" i="8"/>
  <c r="G79" i="4"/>
  <c r="G69" i="4"/>
  <c r="J48" i="4"/>
  <c r="I48" i="4"/>
  <c r="H48" i="4"/>
  <c r="G48" i="4"/>
  <c r="H55" i="4"/>
  <c r="G55" i="4"/>
  <c r="J46" i="4"/>
  <c r="I46" i="4"/>
  <c r="H46" i="4"/>
  <c r="G46" i="4"/>
  <c r="H40" i="4"/>
  <c r="I40" i="4"/>
  <c r="J40" i="4"/>
  <c r="J37" i="4" s="1"/>
  <c r="G40" i="4"/>
  <c r="G37" i="4" s="1"/>
  <c r="H33" i="4"/>
  <c r="G33" i="4"/>
  <c r="H26" i="4"/>
  <c r="G26" i="4"/>
  <c r="H18" i="4"/>
  <c r="J18" i="4"/>
  <c r="D9" i="2"/>
  <c r="F86" i="4"/>
  <c r="F85" i="4"/>
  <c r="F84" i="4"/>
  <c r="F83" i="4"/>
  <c r="F82" i="4"/>
  <c r="F81" i="4"/>
  <c r="F78" i="4"/>
  <c r="F77" i="4"/>
  <c r="F76" i="4"/>
  <c r="F75" i="4"/>
  <c r="F74" i="4"/>
  <c r="F72" i="4"/>
  <c r="F71" i="4"/>
  <c r="F70" i="4"/>
  <c r="F67" i="4"/>
  <c r="F66" i="4"/>
  <c r="F65" i="4"/>
  <c r="F64" i="4"/>
  <c r="F63" i="4"/>
  <c r="F61" i="4"/>
  <c r="F60" i="4"/>
  <c r="F59" i="4"/>
  <c r="F56" i="4"/>
  <c r="F54" i="4"/>
  <c r="F53" i="4"/>
  <c r="F52" i="4"/>
  <c r="F50" i="4"/>
  <c r="F49" i="4"/>
  <c r="F47" i="4"/>
  <c r="F45" i="4"/>
  <c r="F43" i="4"/>
  <c r="F39" i="4"/>
  <c r="F38" i="4"/>
  <c r="F34" i="4"/>
  <c r="F32" i="4"/>
  <c r="F31" i="4"/>
  <c r="F30" i="4"/>
  <c r="F28" i="4"/>
  <c r="F27" i="4"/>
  <c r="F25" i="4"/>
  <c r="F23" i="4"/>
  <c r="F21" i="4"/>
  <c r="F17" i="4"/>
  <c r="F16" i="4"/>
  <c r="D9" i="4"/>
  <c r="D9" i="15"/>
  <c r="D9" i="14"/>
  <c r="D9" i="13"/>
  <c r="D9" i="11"/>
  <c r="D9" i="10"/>
  <c r="D9" i="9"/>
  <c r="D9" i="7"/>
  <c r="D9" i="6"/>
  <c r="D9" i="5"/>
  <c r="D9" i="3"/>
  <c r="H24" i="4"/>
  <c r="I37" i="4"/>
  <c r="D9" i="1"/>
  <c r="I55" i="15" l="1"/>
  <c r="J55" i="15" s="1"/>
  <c r="J44" i="15" s="1"/>
  <c r="J33" i="15"/>
  <c r="J22" i="15" s="1"/>
  <c r="J19" i="15" s="1"/>
  <c r="I29" i="15" s="1"/>
  <c r="I33" i="15"/>
  <c r="I55" i="14"/>
  <c r="J55" i="14" s="1"/>
  <c r="J44" i="14" s="1"/>
  <c r="I33" i="14"/>
  <c r="J33" i="14" s="1"/>
  <c r="J22" i="14" s="1"/>
  <c r="J19" i="14" s="1"/>
  <c r="I29" i="14" s="1"/>
  <c r="I55" i="13"/>
  <c r="J55" i="13" s="1"/>
  <c r="J44" i="13" s="1"/>
  <c r="F59" i="13"/>
  <c r="J33" i="13"/>
  <c r="J22" i="13" s="1"/>
  <c r="J19" i="13" s="1"/>
  <c r="I29" i="13" s="1"/>
  <c r="I33" i="13"/>
  <c r="J55" i="11"/>
  <c r="J44" i="11" s="1"/>
  <c r="I55" i="11"/>
  <c r="I33" i="11"/>
  <c r="J33" i="11" s="1"/>
  <c r="J22" i="11" s="1"/>
  <c r="J19" i="11" s="1"/>
  <c r="I29" i="11" s="1"/>
  <c r="I68" i="11"/>
  <c r="F68" i="11" s="1"/>
  <c r="G68" i="11"/>
  <c r="F59" i="10"/>
  <c r="I55" i="10"/>
  <c r="J55" i="10"/>
  <c r="J44" i="10" s="1"/>
  <c r="I33" i="10"/>
  <c r="J33" i="10"/>
  <c r="J22" i="10" s="1"/>
  <c r="J19" i="10" s="1"/>
  <c r="I29" i="10" s="1"/>
  <c r="I68" i="10"/>
  <c r="J55" i="9"/>
  <c r="J44" i="9" s="1"/>
  <c r="I55" i="9"/>
  <c r="I33" i="9"/>
  <c r="J33" i="9" s="1"/>
  <c r="J22" i="9" s="1"/>
  <c r="J19" i="9" s="1"/>
  <c r="I29" i="9" s="1"/>
  <c r="I69" i="12"/>
  <c r="I68" i="9"/>
  <c r="F69" i="9"/>
  <c r="H69" i="12"/>
  <c r="G79" i="18"/>
  <c r="I55" i="7"/>
  <c r="J55" i="7"/>
  <c r="J44" i="7" s="1"/>
  <c r="H35" i="8"/>
  <c r="F69" i="7"/>
  <c r="I33" i="7"/>
  <c r="J33" i="7"/>
  <c r="J22" i="7" s="1"/>
  <c r="J19" i="7" s="1"/>
  <c r="I29" i="7" s="1"/>
  <c r="I55" i="6"/>
  <c r="J55" i="6" s="1"/>
  <c r="J44" i="6" s="1"/>
  <c r="I33" i="6"/>
  <c r="J33" i="6" s="1"/>
  <c r="J22" i="6" s="1"/>
  <c r="J19" i="6" s="1"/>
  <c r="I29" i="6" s="1"/>
  <c r="H26" i="18"/>
  <c r="H24" i="18" s="1"/>
  <c r="I68" i="6"/>
  <c r="F68" i="6" s="1"/>
  <c r="F79" i="6"/>
  <c r="G55" i="18"/>
  <c r="I55" i="5"/>
  <c r="J55" i="5"/>
  <c r="J44" i="5" s="1"/>
  <c r="I33" i="5"/>
  <c r="J33" i="5" s="1"/>
  <c r="J22" i="5" s="1"/>
  <c r="J19" i="5" s="1"/>
  <c r="I29" i="5" s="1"/>
  <c r="J69" i="8"/>
  <c r="F26" i="8"/>
  <c r="I68" i="5"/>
  <c r="J68" i="5"/>
  <c r="F68" i="5" s="1"/>
  <c r="I55" i="3"/>
  <c r="J55" i="3" s="1"/>
  <c r="J44" i="3" s="1"/>
  <c r="J33" i="3"/>
  <c r="J22" i="3" s="1"/>
  <c r="J19" i="3" s="1"/>
  <c r="I29" i="3" s="1"/>
  <c r="I33" i="3"/>
  <c r="H69" i="4"/>
  <c r="F69" i="3"/>
  <c r="I55" i="2"/>
  <c r="J55" i="2" s="1"/>
  <c r="J44" i="2" s="1"/>
  <c r="H18" i="18"/>
  <c r="I48" i="18"/>
  <c r="I46" i="18" s="1"/>
  <c r="I55" i="1"/>
  <c r="J55" i="1"/>
  <c r="J44" i="1" s="1"/>
  <c r="F80" i="1"/>
  <c r="H35" i="16"/>
  <c r="F68" i="15"/>
  <c r="F48" i="16"/>
  <c r="G55" i="17"/>
  <c r="H57" i="16"/>
  <c r="F68" i="14"/>
  <c r="F80" i="14"/>
  <c r="F79" i="14"/>
  <c r="F26" i="16"/>
  <c r="G15" i="16"/>
  <c r="G35" i="16" s="1"/>
  <c r="F69" i="14"/>
  <c r="J68" i="14"/>
  <c r="F18" i="16"/>
  <c r="J69" i="16"/>
  <c r="I20" i="16"/>
  <c r="H68" i="16"/>
  <c r="G80" i="17"/>
  <c r="I41" i="16"/>
  <c r="G51" i="16"/>
  <c r="F42" i="16"/>
  <c r="F46" i="16"/>
  <c r="F40" i="16"/>
  <c r="G37" i="16"/>
  <c r="F80" i="13"/>
  <c r="J79" i="16"/>
  <c r="J80" i="16"/>
  <c r="F24" i="16"/>
  <c r="G68" i="16"/>
  <c r="H69" i="16"/>
  <c r="F69" i="13"/>
  <c r="G69" i="16"/>
  <c r="I69" i="16"/>
  <c r="I69" i="17" s="1"/>
  <c r="I68" i="13"/>
  <c r="I68" i="16" s="1"/>
  <c r="G79" i="17"/>
  <c r="H57" i="12"/>
  <c r="F40" i="12"/>
  <c r="J40" i="17"/>
  <c r="J37" i="17" s="1"/>
  <c r="H18" i="17"/>
  <c r="G69" i="12"/>
  <c r="G68" i="12"/>
  <c r="F48" i="12"/>
  <c r="I42" i="12"/>
  <c r="F42" i="12" s="1"/>
  <c r="J80" i="12"/>
  <c r="F26" i="12"/>
  <c r="J69" i="12"/>
  <c r="J68" i="10"/>
  <c r="J68" i="12" s="1"/>
  <c r="G15" i="12"/>
  <c r="G35" i="12" s="1"/>
  <c r="H68" i="10"/>
  <c r="F68" i="10" s="1"/>
  <c r="I20" i="12"/>
  <c r="I19" i="12" s="1"/>
  <c r="F46" i="12"/>
  <c r="F37" i="12"/>
  <c r="I48" i="17"/>
  <c r="I46" i="17" s="1"/>
  <c r="F68" i="9"/>
  <c r="F18" i="12"/>
  <c r="H24" i="12"/>
  <c r="H35" i="12" s="1"/>
  <c r="J24" i="12"/>
  <c r="G37" i="8"/>
  <c r="I46" i="8"/>
  <c r="F46" i="8" s="1"/>
  <c r="F80" i="7"/>
  <c r="J68" i="7"/>
  <c r="F68" i="7" s="1"/>
  <c r="H80" i="17"/>
  <c r="H79" i="18"/>
  <c r="G51" i="8"/>
  <c r="I41" i="8"/>
  <c r="F42" i="8"/>
  <c r="G40" i="17"/>
  <c r="I42" i="17" s="1"/>
  <c r="F42" i="17" s="1"/>
  <c r="H40" i="17"/>
  <c r="H37" i="17" s="1"/>
  <c r="F40" i="8"/>
  <c r="G40" i="18"/>
  <c r="I42" i="18" s="1"/>
  <c r="G51" i="18" s="1"/>
  <c r="F80" i="6"/>
  <c r="H68" i="8"/>
  <c r="H68" i="18" s="1"/>
  <c r="F18" i="8"/>
  <c r="H69" i="8"/>
  <c r="F69" i="6"/>
  <c r="F24" i="8"/>
  <c r="I69" i="18"/>
  <c r="J18" i="17"/>
  <c r="J15" i="17" s="1"/>
  <c r="J26" i="17"/>
  <c r="J24" i="17" s="1"/>
  <c r="G80" i="18"/>
  <c r="H57" i="8"/>
  <c r="F48" i="8"/>
  <c r="H55" i="18"/>
  <c r="J37" i="8"/>
  <c r="H48" i="17"/>
  <c r="H46" i="17" s="1"/>
  <c r="J40" i="18"/>
  <c r="J37" i="18" s="1"/>
  <c r="G68" i="8"/>
  <c r="G33" i="17"/>
  <c r="I80" i="8"/>
  <c r="F20" i="8"/>
  <c r="G29" i="8"/>
  <c r="G26" i="17"/>
  <c r="G24" i="17" s="1"/>
  <c r="G33" i="18"/>
  <c r="J80" i="8"/>
  <c r="F69" i="5"/>
  <c r="G18" i="17"/>
  <c r="I20" i="17" s="1"/>
  <c r="F20" i="17" s="1"/>
  <c r="J26" i="18"/>
  <c r="J24" i="18" s="1"/>
  <c r="G15" i="8"/>
  <c r="H33" i="18"/>
  <c r="G69" i="8"/>
  <c r="I18" i="18"/>
  <c r="I15" i="18" s="1"/>
  <c r="H79" i="17"/>
  <c r="H37" i="4"/>
  <c r="H57" i="4" s="1"/>
  <c r="I80" i="4"/>
  <c r="F80" i="3"/>
  <c r="F68" i="3"/>
  <c r="G68" i="4"/>
  <c r="J80" i="4"/>
  <c r="J79" i="4"/>
  <c r="G24" i="4"/>
  <c r="J69" i="4"/>
  <c r="H26" i="17"/>
  <c r="H24" i="17" s="1"/>
  <c r="J68" i="3"/>
  <c r="J68" i="4" s="1"/>
  <c r="G26" i="18"/>
  <c r="G24" i="18" s="1"/>
  <c r="F22" i="2"/>
  <c r="F33" i="2"/>
  <c r="I42" i="4"/>
  <c r="J18" i="18"/>
  <c r="J15" i="18" s="1"/>
  <c r="G57" i="2"/>
  <c r="H48" i="18"/>
  <c r="H46" i="18" s="1"/>
  <c r="I18" i="17"/>
  <c r="I15" i="17" s="1"/>
  <c r="I15" i="4"/>
  <c r="J15" i="4"/>
  <c r="F46" i="4"/>
  <c r="H55" i="17"/>
  <c r="H40" i="18"/>
  <c r="J48" i="17"/>
  <c r="J48" i="18"/>
  <c r="G18" i="18"/>
  <c r="G15" i="4"/>
  <c r="F18" i="4"/>
  <c r="I20" i="4"/>
  <c r="I26" i="18"/>
  <c r="I24" i="18" s="1"/>
  <c r="I26" i="17"/>
  <c r="F26" i="4"/>
  <c r="I24" i="4"/>
  <c r="G48" i="18"/>
  <c r="G48" i="17"/>
  <c r="F48" i="4"/>
  <c r="F22" i="1"/>
  <c r="G29" i="4"/>
  <c r="H33" i="17"/>
  <c r="H35" i="4"/>
  <c r="I40" i="18"/>
  <c r="I37" i="18" s="1"/>
  <c r="I40" i="17"/>
  <c r="I37" i="17" s="1"/>
  <c r="H69" i="18"/>
  <c r="H80" i="18"/>
  <c r="F40" i="4"/>
  <c r="F33" i="1"/>
  <c r="I51" i="15" l="1"/>
  <c r="J41" i="15"/>
  <c r="I51" i="14"/>
  <c r="J41" i="14"/>
  <c r="I51" i="13"/>
  <c r="J41" i="13"/>
  <c r="I51" i="11"/>
  <c r="J41" i="11"/>
  <c r="F79" i="11"/>
  <c r="F80" i="11"/>
  <c r="I80" i="12"/>
  <c r="F80" i="12" s="1"/>
  <c r="I68" i="12"/>
  <c r="I51" i="10"/>
  <c r="J41" i="10"/>
  <c r="F80" i="10"/>
  <c r="I51" i="9"/>
  <c r="J41" i="9"/>
  <c r="F20" i="12"/>
  <c r="F80" i="9"/>
  <c r="I51" i="7"/>
  <c r="J41" i="7"/>
  <c r="I51" i="6"/>
  <c r="J41" i="6"/>
  <c r="I68" i="8"/>
  <c r="I68" i="18" s="1"/>
  <c r="H35" i="18"/>
  <c r="I51" i="5"/>
  <c r="J41" i="5"/>
  <c r="F69" i="8"/>
  <c r="J79" i="8"/>
  <c r="F80" i="5"/>
  <c r="J69" i="18"/>
  <c r="H69" i="17"/>
  <c r="I51" i="3"/>
  <c r="J41" i="3"/>
  <c r="F69" i="4"/>
  <c r="I51" i="2"/>
  <c r="J41" i="2"/>
  <c r="I51" i="1"/>
  <c r="J41" i="1"/>
  <c r="G37" i="18"/>
  <c r="I41" i="18"/>
  <c r="J69" i="17"/>
  <c r="F55" i="15"/>
  <c r="F22" i="15"/>
  <c r="F80" i="15"/>
  <c r="F79" i="15"/>
  <c r="F15" i="16"/>
  <c r="I80" i="16"/>
  <c r="J68" i="16"/>
  <c r="F68" i="16" s="1"/>
  <c r="F33" i="15"/>
  <c r="F33" i="14"/>
  <c r="I19" i="16"/>
  <c r="F20" i="16"/>
  <c r="F22" i="14"/>
  <c r="F55" i="13"/>
  <c r="I55" i="16"/>
  <c r="F37" i="16"/>
  <c r="G57" i="16"/>
  <c r="F69" i="16"/>
  <c r="F68" i="13"/>
  <c r="F79" i="13"/>
  <c r="G69" i="17"/>
  <c r="F33" i="13"/>
  <c r="I33" i="16"/>
  <c r="J33" i="16"/>
  <c r="J22" i="16" s="1"/>
  <c r="F44" i="11"/>
  <c r="F55" i="11"/>
  <c r="G51" i="17"/>
  <c r="F22" i="11"/>
  <c r="F15" i="12"/>
  <c r="F69" i="12"/>
  <c r="F33" i="11"/>
  <c r="F44" i="10"/>
  <c r="F55" i="10"/>
  <c r="G51" i="12"/>
  <c r="G57" i="12" s="1"/>
  <c r="I41" i="12"/>
  <c r="H68" i="12"/>
  <c r="I41" i="17"/>
  <c r="I55" i="12"/>
  <c r="F55" i="9"/>
  <c r="G37" i="17"/>
  <c r="F37" i="17" s="1"/>
  <c r="J55" i="12"/>
  <c r="J44" i="12" s="1"/>
  <c r="I19" i="17"/>
  <c r="F24" i="12"/>
  <c r="F33" i="9"/>
  <c r="I33" i="12"/>
  <c r="G57" i="8"/>
  <c r="F44" i="7"/>
  <c r="F55" i="7"/>
  <c r="F24" i="18"/>
  <c r="F33" i="7"/>
  <c r="F22" i="7"/>
  <c r="J68" i="8"/>
  <c r="J80" i="18"/>
  <c r="F42" i="18"/>
  <c r="H57" i="17"/>
  <c r="F22" i="6"/>
  <c r="F33" i="6"/>
  <c r="G69" i="18"/>
  <c r="I55" i="8"/>
  <c r="F55" i="5"/>
  <c r="F40" i="18"/>
  <c r="F37" i="8"/>
  <c r="F79" i="5"/>
  <c r="I79" i="8"/>
  <c r="G29" i="17"/>
  <c r="G35" i="8"/>
  <c r="F15" i="8"/>
  <c r="J33" i="8"/>
  <c r="J22" i="8" s="1"/>
  <c r="G15" i="17"/>
  <c r="F15" i="17" s="1"/>
  <c r="I33" i="8"/>
  <c r="F33" i="5"/>
  <c r="F80" i="8"/>
  <c r="H35" i="17"/>
  <c r="J80" i="17"/>
  <c r="F44" i="3"/>
  <c r="F55" i="3"/>
  <c r="F40" i="17"/>
  <c r="F37" i="4"/>
  <c r="F22" i="3"/>
  <c r="F80" i="4"/>
  <c r="F33" i="3"/>
  <c r="I33" i="4"/>
  <c r="F79" i="3"/>
  <c r="I79" i="4"/>
  <c r="F18" i="17"/>
  <c r="F24" i="4"/>
  <c r="J68" i="18"/>
  <c r="F68" i="4"/>
  <c r="J33" i="4"/>
  <c r="G68" i="18"/>
  <c r="G68" i="17"/>
  <c r="I80" i="18"/>
  <c r="F44" i="2"/>
  <c r="H37" i="18"/>
  <c r="H57" i="18" s="1"/>
  <c r="F55" i="2"/>
  <c r="J35" i="2"/>
  <c r="F19" i="2"/>
  <c r="F42" i="4"/>
  <c r="G51" i="4"/>
  <c r="G57" i="4" s="1"/>
  <c r="I41" i="4"/>
  <c r="J46" i="17"/>
  <c r="J35" i="1"/>
  <c r="F19" i="1"/>
  <c r="G46" i="17"/>
  <c r="F48" i="17"/>
  <c r="F20" i="4"/>
  <c r="I19" i="4"/>
  <c r="F26" i="18"/>
  <c r="F48" i="18"/>
  <c r="G46" i="18"/>
  <c r="J46" i="18"/>
  <c r="J55" i="4"/>
  <c r="I20" i="18"/>
  <c r="F18" i="18"/>
  <c r="G29" i="18"/>
  <c r="G15" i="18"/>
  <c r="F55" i="1"/>
  <c r="I55" i="4"/>
  <c r="F26" i="17"/>
  <c r="I24" i="17"/>
  <c r="F15" i="4"/>
  <c r="G35" i="4"/>
  <c r="I80" i="17" l="1"/>
  <c r="F80" i="17" s="1"/>
  <c r="I79" i="12"/>
  <c r="F79" i="10"/>
  <c r="F79" i="9"/>
  <c r="J79" i="12"/>
  <c r="J79" i="17" s="1"/>
  <c r="J79" i="18"/>
  <c r="F69" i="17"/>
  <c r="I68" i="17"/>
  <c r="F68" i="8"/>
  <c r="F79" i="8"/>
  <c r="F69" i="18"/>
  <c r="F33" i="4"/>
  <c r="F37" i="18"/>
  <c r="F80" i="18"/>
  <c r="F68" i="18"/>
  <c r="I79" i="16"/>
  <c r="F79" i="16" s="1"/>
  <c r="F80" i="16"/>
  <c r="F44" i="15"/>
  <c r="F19" i="15"/>
  <c r="J35" i="15"/>
  <c r="F44" i="14"/>
  <c r="F55" i="14"/>
  <c r="J35" i="14"/>
  <c r="F19" i="14"/>
  <c r="F33" i="16"/>
  <c r="J55" i="16"/>
  <c r="J44" i="16" s="1"/>
  <c r="F22" i="16"/>
  <c r="J19" i="16"/>
  <c r="F22" i="13"/>
  <c r="F41" i="11"/>
  <c r="J57" i="11"/>
  <c r="F51" i="11"/>
  <c r="I57" i="11"/>
  <c r="F57" i="11" s="1"/>
  <c r="J35" i="11"/>
  <c r="F19" i="11"/>
  <c r="J57" i="10"/>
  <c r="F41" i="10"/>
  <c r="I57" i="10"/>
  <c r="F51" i="10"/>
  <c r="F22" i="10"/>
  <c r="J33" i="12"/>
  <c r="J22" i="12" s="1"/>
  <c r="J19" i="12" s="1"/>
  <c r="F68" i="12"/>
  <c r="H68" i="17"/>
  <c r="F33" i="10"/>
  <c r="I51" i="12"/>
  <c r="J41" i="12"/>
  <c r="F44" i="12"/>
  <c r="F55" i="12"/>
  <c r="F44" i="9"/>
  <c r="F22" i="9"/>
  <c r="J57" i="7"/>
  <c r="F41" i="7"/>
  <c r="F51" i="7"/>
  <c r="I57" i="7"/>
  <c r="J35" i="7"/>
  <c r="F19" i="7"/>
  <c r="J68" i="17"/>
  <c r="F44" i="6"/>
  <c r="F55" i="6"/>
  <c r="G35" i="17"/>
  <c r="J35" i="6"/>
  <c r="F19" i="6"/>
  <c r="J55" i="8"/>
  <c r="J44" i="8" s="1"/>
  <c r="J19" i="8"/>
  <c r="F22" i="8"/>
  <c r="F22" i="5"/>
  <c r="F33" i="8"/>
  <c r="J57" i="3"/>
  <c r="F41" i="3"/>
  <c r="I57" i="3"/>
  <c r="F51" i="3"/>
  <c r="J22" i="4"/>
  <c r="J33" i="18"/>
  <c r="J22" i="18" s="1"/>
  <c r="J35" i="3"/>
  <c r="F19" i="3"/>
  <c r="I79" i="18"/>
  <c r="F79" i="18" s="1"/>
  <c r="F79" i="4"/>
  <c r="I33" i="18"/>
  <c r="I33" i="17"/>
  <c r="I57" i="2"/>
  <c r="F51" i="2"/>
  <c r="J57" i="2"/>
  <c r="F41" i="2"/>
  <c r="F29" i="2"/>
  <c r="I35" i="2"/>
  <c r="F35" i="2" s="1"/>
  <c r="F46" i="18"/>
  <c r="G35" i="18"/>
  <c r="F15" i="18"/>
  <c r="I35" i="1"/>
  <c r="F35" i="1" s="1"/>
  <c r="F29" i="1"/>
  <c r="J44" i="4"/>
  <c r="F46" i="17"/>
  <c r="G57" i="17"/>
  <c r="F44" i="1"/>
  <c r="I55" i="18"/>
  <c r="I55" i="17"/>
  <c r="F55" i="4"/>
  <c r="F24" i="17"/>
  <c r="G57" i="18"/>
  <c r="F20" i="18"/>
  <c r="I19" i="18"/>
  <c r="F57" i="10" l="1"/>
  <c r="F79" i="12"/>
  <c r="I79" i="17"/>
  <c r="F79" i="17" s="1"/>
  <c r="J57" i="15"/>
  <c r="F41" i="15"/>
  <c r="I57" i="15"/>
  <c r="F51" i="15"/>
  <c r="I35" i="15"/>
  <c r="F35" i="15" s="1"/>
  <c r="F29" i="15"/>
  <c r="J57" i="14"/>
  <c r="F41" i="14"/>
  <c r="F55" i="16"/>
  <c r="F51" i="14"/>
  <c r="I57" i="14"/>
  <c r="F29" i="14"/>
  <c r="I35" i="14"/>
  <c r="F35" i="14" s="1"/>
  <c r="F44" i="13"/>
  <c r="J41" i="16"/>
  <c r="I51" i="16"/>
  <c r="F44" i="16"/>
  <c r="J35" i="13"/>
  <c r="F19" i="13"/>
  <c r="I29" i="16"/>
  <c r="J35" i="16"/>
  <c r="F19" i="16"/>
  <c r="F68" i="17"/>
  <c r="I35" i="11"/>
  <c r="F35" i="11" s="1"/>
  <c r="F29" i="11"/>
  <c r="F22" i="12"/>
  <c r="J35" i="10"/>
  <c r="F19" i="10"/>
  <c r="J33" i="17"/>
  <c r="J22" i="17" s="1"/>
  <c r="J19" i="17" s="1"/>
  <c r="F33" i="12"/>
  <c r="J57" i="9"/>
  <c r="F41" i="9"/>
  <c r="J57" i="12"/>
  <c r="F41" i="12"/>
  <c r="I57" i="9"/>
  <c r="F57" i="9" s="1"/>
  <c r="F51" i="9"/>
  <c r="F51" i="12"/>
  <c r="I57" i="12"/>
  <c r="I29" i="12"/>
  <c r="J35" i="12"/>
  <c r="F19" i="12"/>
  <c r="F19" i="9"/>
  <c r="J35" i="9"/>
  <c r="F57" i="7"/>
  <c r="F29" i="7"/>
  <c r="I35" i="7"/>
  <c r="F35" i="7" s="1"/>
  <c r="J55" i="18"/>
  <c r="J44" i="18" s="1"/>
  <c r="J41" i="18" s="1"/>
  <c r="F55" i="8"/>
  <c r="J57" i="6"/>
  <c r="F41" i="6"/>
  <c r="J55" i="17"/>
  <c r="J44" i="17" s="1"/>
  <c r="F44" i="17" s="1"/>
  <c r="F51" i="6"/>
  <c r="I57" i="6"/>
  <c r="F57" i="6" s="1"/>
  <c r="F29" i="6"/>
  <c r="I35" i="6"/>
  <c r="F35" i="6" s="1"/>
  <c r="J41" i="8"/>
  <c r="I51" i="8"/>
  <c r="F44" i="8"/>
  <c r="F44" i="5"/>
  <c r="I29" i="8"/>
  <c r="J35" i="8"/>
  <c r="F19" i="8"/>
  <c r="F19" i="5"/>
  <c r="J35" i="5"/>
  <c r="F57" i="3"/>
  <c r="F29" i="3"/>
  <c r="I35" i="3"/>
  <c r="F35" i="3" s="1"/>
  <c r="F22" i="18"/>
  <c r="J19" i="18"/>
  <c r="F19" i="18" s="1"/>
  <c r="F33" i="18"/>
  <c r="J19" i="4"/>
  <c r="F22" i="4"/>
  <c r="F57" i="2"/>
  <c r="J57" i="1"/>
  <c r="F41" i="1"/>
  <c r="F44" i="4"/>
  <c r="I51" i="4"/>
  <c r="J41" i="4"/>
  <c r="I57" i="1"/>
  <c r="F57" i="1" s="1"/>
  <c r="F51" i="1"/>
  <c r="F57" i="15" l="1"/>
  <c r="F57" i="14"/>
  <c r="J57" i="16"/>
  <c r="F41" i="16"/>
  <c r="J57" i="13"/>
  <c r="F41" i="13"/>
  <c r="F51" i="16"/>
  <c r="I57" i="16"/>
  <c r="F57" i="16" s="1"/>
  <c r="F51" i="13"/>
  <c r="I57" i="13"/>
  <c r="F57" i="13" s="1"/>
  <c r="F29" i="16"/>
  <c r="I35" i="16"/>
  <c r="F35" i="16" s="1"/>
  <c r="F29" i="13"/>
  <c r="I35" i="13"/>
  <c r="F35" i="13" s="1"/>
  <c r="F22" i="17"/>
  <c r="F33" i="17"/>
  <c r="K33" i="17" s="1"/>
  <c r="J41" i="17"/>
  <c r="F41" i="17" s="1"/>
  <c r="F29" i="10"/>
  <c r="I35" i="10"/>
  <c r="F35" i="10" s="1"/>
  <c r="F57" i="12"/>
  <c r="I35" i="9"/>
  <c r="F35" i="9" s="1"/>
  <c r="F29" i="9"/>
  <c r="F29" i="12"/>
  <c r="I35" i="12"/>
  <c r="F35" i="12" s="1"/>
  <c r="F55" i="17"/>
  <c r="I51" i="17"/>
  <c r="I57" i="17" s="1"/>
  <c r="I51" i="18"/>
  <c r="F51" i="18" s="1"/>
  <c r="F44" i="18"/>
  <c r="F55" i="18"/>
  <c r="I57" i="8"/>
  <c r="F51" i="8"/>
  <c r="I57" i="5"/>
  <c r="F57" i="5" s="1"/>
  <c r="F51" i="5"/>
  <c r="J57" i="5"/>
  <c r="F41" i="5"/>
  <c r="F41" i="8"/>
  <c r="J57" i="8"/>
  <c r="F29" i="5"/>
  <c r="I35" i="5"/>
  <c r="F35" i="5" s="1"/>
  <c r="I35" i="8"/>
  <c r="F35" i="8" s="1"/>
  <c r="F29" i="8"/>
  <c r="I29" i="4"/>
  <c r="F19" i="4"/>
  <c r="J35" i="4"/>
  <c r="J35" i="18"/>
  <c r="I29" i="18"/>
  <c r="F19" i="17"/>
  <c r="I29" i="17"/>
  <c r="J35" i="17"/>
  <c r="F51" i="17"/>
  <c r="J57" i="18"/>
  <c r="F41" i="18"/>
  <c r="J57" i="17"/>
  <c r="J57" i="4"/>
  <c r="F41" i="4"/>
  <c r="F51" i="4"/>
  <c r="I57" i="4"/>
  <c r="I57" i="18" l="1"/>
  <c r="F57" i="18" s="1"/>
  <c r="F57" i="17"/>
  <c r="F57" i="8"/>
  <c r="F29" i="17"/>
  <c r="I35" i="17"/>
  <c r="F35" i="17" s="1"/>
  <c r="F29" i="18"/>
  <c r="I35" i="18"/>
  <c r="F35" i="18" s="1"/>
  <c r="F29" i="4"/>
  <c r="I35" i="4"/>
  <c r="F35" i="4" s="1"/>
  <c r="F57" i="4"/>
</calcChain>
</file>

<file path=xl/sharedStrings.xml><?xml version="1.0" encoding="utf-8"?>
<sst xmlns="http://schemas.openxmlformats.org/spreadsheetml/2006/main" count="1764" uniqueCount="75">
  <si>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</si>
  <si>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</si>
  <si>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</si>
  <si>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</si>
  <si>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</si>
  <si>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</si>
  <si>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</si>
  <si>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</si>
  <si>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</si>
  <si>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</si>
  <si>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</si>
  <si>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</si>
  <si>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</si>
  <si>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</si>
  <si>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</si>
  <si>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</si>
  <si>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</si>
  <si>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</si>
  <si>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</si>
  <si>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</si>
  <si>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</si>
  <si>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</si>
  <si>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</si>
  <si>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</si>
  <si>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</si>
  <si>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</si>
  <si>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</si>
  <si>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</si>
  <si>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</si>
  <si>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</si>
  <si>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</si>
  <si>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</si>
  <si>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</si>
  <si>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</si>
  <si>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</si>
  <si>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</si>
  <si>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</si>
  <si>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</si>
  <si>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</si>
  <si>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</si>
  <si>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</si>
  <si>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</si>
  <si>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</si>
  <si>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</si>
  <si>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</si>
  <si>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</si>
  <si>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</si>
  <si>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</si>
  <si>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</si>
  <si>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</si>
  <si>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</si>
  <si>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</si>
  <si>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</si>
  <si>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</si>
  <si>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</si>
  <si>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1 КВАРТАЛ</t>
  </si>
  <si>
    <t>2 КВАРТАЛ</t>
  </si>
  <si>
    <t>3 КВАРТАЛ</t>
  </si>
  <si>
    <t>4 КВАРТАЛ</t>
  </si>
  <si>
    <t>Генеральный директор ЗАО "Коттон Вэй"</t>
  </si>
  <si>
    <t>Бурлай С.Н.</t>
  </si>
  <si>
    <t>1 полугодие</t>
  </si>
  <si>
    <t xml:space="preserve"> ЯНВАРЬ  2017</t>
  </si>
  <si>
    <t xml:space="preserve"> ФЕВРАЛЬ  2017</t>
  </si>
  <si>
    <t xml:space="preserve"> МАРТ  2017</t>
  </si>
  <si>
    <t xml:space="preserve"> АПРЕЛЬ  2017</t>
  </si>
  <si>
    <t xml:space="preserve"> МАЙ 2017</t>
  </si>
  <si>
    <t xml:space="preserve"> ИЮНЬ 2017</t>
  </si>
  <si>
    <t xml:space="preserve"> АВГУСТ 2017</t>
  </si>
  <si>
    <t xml:space="preserve"> ИЮЛЬ 2017</t>
  </si>
  <si>
    <t xml:space="preserve"> СЕНТЯБРЬ 2017</t>
  </si>
  <si>
    <t xml:space="preserve"> ОКТЯБРЬ 2017</t>
  </si>
  <si>
    <t xml:space="preserve"> НОЯБРЬ 2017</t>
  </si>
  <si>
    <t xml:space="preserve"> ДЕКАБРЬ 2017</t>
  </si>
  <si>
    <t>2017 год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</si>
</sst>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b/>
      <sz val="9"/>
      <color theme="1" tint="0.1499984740745262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 tint="0.14999847407452621"/>
      <name val="Tahoma"/>
      <family val="2"/>
      <charset val="204"/>
    </font>
    <font>
      <b/>
      <sz val="10"/>
      <color theme="1" tint="0.14999847407452621"/>
      <name val="Tahoma"/>
      <family val="2"/>
      <charset val="204"/>
    </font>
    <font>
      <sz val="9"/>
      <color indexed="6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6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  <xf numFmtId="49" fontId="8" fillId="0" borderId="2" xfId="4" applyFont="1" applyBorder="1" applyAlignment="1">
      <alignment vertical="center" wrapText="1"/>
    </xf>
    <xf numFmtId="49" fontId="8" fillId="0" borderId="2" xfId="4" applyFont="1" applyBorder="1" applyAlignment="1">
      <alignment horizontal="center" vertical="center" wrapText="1"/>
    </xf>
    <xf numFmtId="164" fontId="8" fillId="4" borderId="2" xfId="4" applyNumberFormat="1" applyFont="1" applyFill="1" applyBorder="1" applyAlignment="1" applyProtection="1">
      <alignment horizontal="right" vertical="center"/>
    </xf>
    <xf numFmtId="164" fontId="8" fillId="5" borderId="2" xfId="4" applyNumberFormat="1" applyFont="1" applyFill="1" applyBorder="1" applyAlignment="1" applyProtection="1">
      <alignment horizontal="right" vertical="center"/>
      <protection locked="0"/>
    </xf>
    <xf numFmtId="164" fontId="8" fillId="5" borderId="2" xfId="1" applyNumberFormat="1" applyFont="1" applyFill="1" applyBorder="1" applyAlignment="1" applyProtection="1">
      <alignment horizontal="right" vertical="center"/>
      <protection locked="0"/>
    </xf>
    <xf numFmtId="164" fontId="8" fillId="5" borderId="2" xfId="6" applyNumberFormat="1" applyFont="1" applyFill="1" applyBorder="1" applyAlignment="1" applyProtection="1">
      <alignment horizontal="right" vertical="center"/>
      <protection locked="0"/>
    </xf>
    <xf numFmtId="164" fontId="8" fillId="5" borderId="2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4" applyNumberFormat="1" applyFont="1" applyBorder="1" applyAlignment="1" applyProtection="1">
      <alignment vertical="center"/>
    </xf>
    <xf numFmtId="49" fontId="8" fillId="0" borderId="2" xfId="4" applyFont="1" applyBorder="1" applyAlignment="1">
      <alignment horizontal="center" vertical="center"/>
    </xf>
    <xf numFmtId="0" fontId="2" fillId="0" borderId="2" xfId="5" applyFont="1" applyBorder="1" applyAlignment="1" applyProtection="1">
      <alignment horizontal="center" vertical="center" wrapText="1"/>
    </xf>
    <xf numFmtId="49" fontId="2" fillId="0" borderId="2" xfId="4" applyFont="1" applyBorder="1" applyAlignment="1">
      <alignment horizontal="center" vertical="center"/>
    </xf>
    <xf numFmtId="17" fontId="6" fillId="0" borderId="0" xfId="1" applyNumberFormat="1" applyFont="1" applyBorder="1" applyAlignment="1" applyProtection="1">
      <alignment vertical="center"/>
    </xf>
  </cellXfs>
  <cellStyles count="7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esktop/46EP.ST(v1.0)_&#1072;&#1087;&#1088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6">
          <cell r="G16" t="str">
            <v>ЗАО "Коттон Вэй"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D41" sqref="D41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3" t="s">
        <v>62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2948.7420000000002</v>
      </c>
      <c r="G15" s="40">
        <f>G18</f>
        <v>2227.0500000000002</v>
      </c>
      <c r="H15" s="40">
        <f>H18</f>
        <v>0</v>
      </c>
      <c r="I15" s="40">
        <f>I18</f>
        <v>721.69200000000001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2948.7420000000002</v>
      </c>
      <c r="G18" s="40">
        <v>2227.0500000000002</v>
      </c>
      <c r="H18" s="40">
        <v>0</v>
      </c>
      <c r="I18" s="40">
        <v>721.69200000000001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4740.4017000000003</v>
      </c>
      <c r="G19" s="40"/>
      <c r="H19" s="40"/>
      <c r="I19" s="40">
        <f>I20</f>
        <v>2227.0500000000002</v>
      </c>
      <c r="J19" s="40">
        <f>J22</f>
        <v>2513.3517000000002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2227.0500000000002</v>
      </c>
      <c r="G20" s="40"/>
      <c r="H20" s="40"/>
      <c r="I20" s="40">
        <f>G18</f>
        <v>2227.0500000000002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2513.3517000000002</v>
      </c>
      <c r="G22" s="40"/>
      <c r="H22" s="40"/>
      <c r="I22" s="40"/>
      <c r="J22" s="40">
        <f>J26+J33</f>
        <v>2513.3517000000002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2965.5210000000002</v>
      </c>
      <c r="G24" s="40">
        <v>0</v>
      </c>
      <c r="H24" s="40">
        <v>0</v>
      </c>
      <c r="I24" s="40">
        <f>I26</f>
        <v>440.42399999999998</v>
      </c>
      <c r="J24" s="40">
        <f>J26</f>
        <v>2525.0970000000002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2965.5210000000002</v>
      </c>
      <c r="G26" s="40">
        <v>0</v>
      </c>
      <c r="H26" s="40">
        <v>0</v>
      </c>
      <c r="I26" s="40">
        <v>440.42399999999998</v>
      </c>
      <c r="J26" s="40">
        <v>2525.0970000000002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4740.4017000000003</v>
      </c>
      <c r="G29" s="40">
        <f>G18</f>
        <v>2227.0500000000002</v>
      </c>
      <c r="H29" s="40"/>
      <c r="I29" s="40">
        <f>J19</f>
        <v>2513.3517000000002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-16.778999999999996</v>
      </c>
      <c r="G33" s="40">
        <v>0</v>
      </c>
      <c r="H33" s="40">
        <v>0</v>
      </c>
      <c r="I33" s="40">
        <f>(F15-F24)*0.3</f>
        <v>-5.0336999999999987</v>
      </c>
      <c r="J33" s="40">
        <f>F15-F24-I33</f>
        <v>-11.745299999999997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4.9340000000000002</v>
      </c>
      <c r="G37" s="40">
        <f>G40</f>
        <v>3.8929260000000001</v>
      </c>
      <c r="H37" s="40">
        <v>0</v>
      </c>
      <c r="I37" s="40">
        <f>I40</f>
        <v>1.0410740000000001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4.9340000000000002</v>
      </c>
      <c r="G40" s="40">
        <f>4.934-I40</f>
        <v>3.8929260000000001</v>
      </c>
      <c r="H40" s="40">
        <v>0</v>
      </c>
      <c r="I40" s="40">
        <f>4.934*0.211</f>
        <v>1.0410740000000001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7.6747659600000002</v>
      </c>
      <c r="G41" s="40"/>
      <c r="H41" s="40"/>
      <c r="I41" s="40">
        <f>I42</f>
        <v>3.8929260000000001</v>
      </c>
      <c r="J41" s="40">
        <f>J44</f>
        <v>3.7818399600000001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3.8929260000000001</v>
      </c>
      <c r="G42" s="40"/>
      <c r="H42" s="40"/>
      <c r="I42" s="40">
        <f>G40</f>
        <v>3.8929260000000001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3.7818399600000001</v>
      </c>
      <c r="G44" s="40"/>
      <c r="H44" s="40"/>
      <c r="I44" s="40"/>
      <c r="J44" s="40">
        <f>J48+J55</f>
        <v>3.7818399600000001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4.6795999999999998</v>
      </c>
      <c r="G46" s="40">
        <v>0</v>
      </c>
      <c r="H46" s="40">
        <v>0</v>
      </c>
      <c r="I46" s="40">
        <f>I48</f>
        <v>1.0758400399999999</v>
      </c>
      <c r="J46" s="40">
        <f>J48</f>
        <v>3.6037599599999997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4.6795999999999998</v>
      </c>
      <c r="G48" s="40">
        <v>0</v>
      </c>
      <c r="H48" s="40">
        <v>0</v>
      </c>
      <c r="I48" s="40">
        <f>4.6796*0.2299</f>
        <v>1.0758400399999999</v>
      </c>
      <c r="J48" s="40">
        <f>4.6796-I48</f>
        <v>3.6037599599999997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7.6747659600000002</v>
      </c>
      <c r="G51" s="40">
        <f>I42</f>
        <v>3.8929260000000001</v>
      </c>
      <c r="H51" s="40"/>
      <c r="I51" s="40">
        <f>J44</f>
        <v>3.7818399600000001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0.2544000000000004</v>
      </c>
      <c r="G55" s="40">
        <v>0</v>
      </c>
      <c r="H55" s="40">
        <v>0</v>
      </c>
      <c r="I55" s="40">
        <f>(F37-F46)*0.3</f>
        <v>7.6320000000000124E-2</v>
      </c>
      <c r="J55" s="40">
        <f>F37-F46-I55</f>
        <v>0.17808000000000029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4.6795999999999998</v>
      </c>
      <c r="G59" s="40"/>
      <c r="H59" s="40"/>
      <c r="I59" s="40">
        <f>I48</f>
        <v>1.0758400399999999</v>
      </c>
      <c r="J59" s="40">
        <f>J48</f>
        <v>3.6037599599999997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2965.5210000000002</v>
      </c>
      <c r="G68" s="41">
        <f>G69</f>
        <v>0</v>
      </c>
      <c r="H68" s="41">
        <f>H69</f>
        <v>0</v>
      </c>
      <c r="I68" s="41">
        <f>I69</f>
        <v>440.42399999999998</v>
      </c>
      <c r="J68" s="41">
        <f>J69</f>
        <v>2525.0970000000002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2965.5210000000002</v>
      </c>
      <c r="G69" s="41">
        <f>G26</f>
        <v>0</v>
      </c>
      <c r="H69" s="41">
        <f>H26</f>
        <v>0</v>
      </c>
      <c r="I69" s="41">
        <f>I26</f>
        <v>440.42399999999998</v>
      </c>
      <c r="J69" s="41">
        <f>J26</f>
        <v>2525.0970000000002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4151.7294000000002</v>
      </c>
      <c r="G79" s="42">
        <f>G80</f>
        <v>0</v>
      </c>
      <c r="H79" s="42">
        <f>H80</f>
        <v>0</v>
      </c>
      <c r="I79" s="42">
        <f>I80</f>
        <v>616.59359999999992</v>
      </c>
      <c r="J79" s="42">
        <f>J80</f>
        <v>3535.1358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4151.7294000000002</v>
      </c>
      <c r="G80" s="42">
        <v>0</v>
      </c>
      <c r="H80" s="42">
        <v>0</v>
      </c>
      <c r="I80" s="41">
        <f>I69*1.4</f>
        <v>616.59359999999992</v>
      </c>
      <c r="J80" s="41">
        <f>J69*1.4</f>
        <v>3535.1358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VN983055:WVR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LR983055:WLV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F8" sqref="F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69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1634.9660000000001</v>
      </c>
      <c r="G15" s="40">
        <f>G18</f>
        <v>1267.92</v>
      </c>
      <c r="H15" s="40">
        <f>H18</f>
        <v>0</v>
      </c>
      <c r="I15" s="40">
        <f>I18</f>
        <v>367.04599999999999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1634.9660000000001</v>
      </c>
      <c r="G18" s="40">
        <v>1267.92</v>
      </c>
      <c r="H18" s="40">
        <v>0</v>
      </c>
      <c r="I18" s="40">
        <v>367.04599999999999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2667.0014000000001</v>
      </c>
      <c r="G19" s="40"/>
      <c r="H19" s="40"/>
      <c r="I19" s="40">
        <f>I20</f>
        <v>1267.92</v>
      </c>
      <c r="J19" s="40">
        <f>J22</f>
        <v>1399.0814000000003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1267.92</v>
      </c>
      <c r="G20" s="40"/>
      <c r="H20" s="40"/>
      <c r="I20" s="40">
        <f>G18</f>
        <v>1267.92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1399.0814000000003</v>
      </c>
      <c r="G22" s="40"/>
      <c r="H22" s="40"/>
      <c r="I22" s="40"/>
      <c r="J22" s="40">
        <f>J26+J33</f>
        <v>1399.0814000000003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1622.704</v>
      </c>
      <c r="G24" s="40">
        <v>0</v>
      </c>
      <c r="H24" s="40">
        <v>0</v>
      </c>
      <c r="I24" s="40">
        <f>I26</f>
        <v>232.20599999999999</v>
      </c>
      <c r="J24" s="40">
        <f>J26</f>
        <v>1390.498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1622.704</v>
      </c>
      <c r="G26" s="40">
        <v>0</v>
      </c>
      <c r="H26" s="40">
        <v>0</v>
      </c>
      <c r="I26" s="40">
        <v>232.20599999999999</v>
      </c>
      <c r="J26" s="40">
        <v>1390.498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2667.0014000000001</v>
      </c>
      <c r="G29" s="40">
        <f>G18</f>
        <v>1267.92</v>
      </c>
      <c r="H29" s="40"/>
      <c r="I29" s="40">
        <f>J19</f>
        <v>1399.0814000000003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12.262000000000171</v>
      </c>
      <c r="G33" s="40">
        <v>0</v>
      </c>
      <c r="H33" s="40">
        <v>0</v>
      </c>
      <c r="I33" s="40">
        <f>(F15-F24)*0.3</f>
        <v>3.6786000000000509</v>
      </c>
      <c r="J33" s="40">
        <f>F15-F24-I33</f>
        <v>8.58340000000012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3.9876</v>
      </c>
      <c r="G37" s="40">
        <f>G40</f>
        <v>3.1462164000000001</v>
      </c>
      <c r="H37" s="40">
        <v>0</v>
      </c>
      <c r="I37" s="40">
        <f>I40</f>
        <v>0.84138360000000001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3.9876</v>
      </c>
      <c r="G40" s="40">
        <f>3.9876-I40</f>
        <v>3.1462164000000001</v>
      </c>
      <c r="H40" s="40">
        <v>0</v>
      </c>
      <c r="I40" s="40">
        <f>3.9876*0.211</f>
        <v>0.84138360000000001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6.2095664599999996</v>
      </c>
      <c r="G41" s="40"/>
      <c r="H41" s="40"/>
      <c r="I41" s="40">
        <f>I42</f>
        <v>3.1462164000000001</v>
      </c>
      <c r="J41" s="40">
        <f>J44</f>
        <v>3.0633500599999999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3.1462164000000001</v>
      </c>
      <c r="G42" s="40"/>
      <c r="H42" s="40"/>
      <c r="I42" s="40">
        <f>G40</f>
        <v>3.1462164000000001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3.0633500599999999</v>
      </c>
      <c r="G44" s="40"/>
      <c r="H44" s="40"/>
      <c r="I44" s="40"/>
      <c r="J44" s="40">
        <f>J48+J55</f>
        <v>3.0633500599999999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3.8805999999999998</v>
      </c>
      <c r="G46" s="40">
        <v>0</v>
      </c>
      <c r="H46" s="40">
        <v>0</v>
      </c>
      <c r="I46" s="40">
        <f>I48</f>
        <v>0.89214993999999992</v>
      </c>
      <c r="J46" s="40">
        <f>J48</f>
        <v>2.9884500599999999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3.8805999999999998</v>
      </c>
      <c r="G48" s="40">
        <v>0</v>
      </c>
      <c r="H48" s="40">
        <v>0</v>
      </c>
      <c r="I48" s="40">
        <f>3.8806*0.2299</f>
        <v>0.89214993999999992</v>
      </c>
      <c r="J48" s="40">
        <f>3.8806-I48</f>
        <v>2.9884500599999999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6.2095664599999996</v>
      </c>
      <c r="G51" s="40">
        <f>I42</f>
        <v>3.1462164000000001</v>
      </c>
      <c r="H51" s="40"/>
      <c r="I51" s="40">
        <f>J44</f>
        <v>3.0633500599999999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0.10700000000000021</v>
      </c>
      <c r="G55" s="40">
        <v>0</v>
      </c>
      <c r="H55" s="40">
        <v>0</v>
      </c>
      <c r="I55" s="40">
        <f>(F37-F46)*0.3</f>
        <v>3.2100000000000059E-2</v>
      </c>
      <c r="J55" s="40">
        <f>F37-F46-I55</f>
        <v>7.4900000000000147E-2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3.8805999999999998</v>
      </c>
      <c r="G59" s="40"/>
      <c r="H59" s="40"/>
      <c r="I59" s="40">
        <f>I48</f>
        <v>0.89214993999999992</v>
      </c>
      <c r="J59" s="40">
        <f>J48</f>
        <v>2.9884500599999999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1622.704</v>
      </c>
      <c r="G68" s="41">
        <f>G69</f>
        <v>0</v>
      </c>
      <c r="H68" s="41">
        <f>H69</f>
        <v>0</v>
      </c>
      <c r="I68" s="41">
        <f>I69</f>
        <v>232.20599999999999</v>
      </c>
      <c r="J68" s="41">
        <f>J69</f>
        <v>1390.498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1622.704</v>
      </c>
      <c r="G69" s="41">
        <f>G26</f>
        <v>0</v>
      </c>
      <c r="H69" s="41">
        <f>H26</f>
        <v>0</v>
      </c>
      <c r="I69" s="41">
        <f>I26</f>
        <v>232.20599999999999</v>
      </c>
      <c r="J69" s="41">
        <f>J26</f>
        <v>1390.498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2425.9424800000002</v>
      </c>
      <c r="G79" s="42">
        <f>G80</f>
        <v>0</v>
      </c>
      <c r="H79" s="42">
        <f>H80</f>
        <v>0</v>
      </c>
      <c r="I79" s="42">
        <f>I80</f>
        <v>347.14796999999999</v>
      </c>
      <c r="J79" s="42">
        <f>J80</f>
        <v>2078.7945100000002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2425.9424800000002</v>
      </c>
      <c r="G80" s="42">
        <v>0</v>
      </c>
      <c r="H80" s="42">
        <v>0</v>
      </c>
      <c r="I80" s="41">
        <f>I69*1.495</f>
        <v>347.14796999999999</v>
      </c>
      <c r="J80" s="41">
        <f>J69*1.495</f>
        <v>2078.7945100000002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F8" sqref="F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68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1628.6769999999999</v>
      </c>
      <c r="G15" s="40">
        <f>G18</f>
        <v>1272.4469999999999</v>
      </c>
      <c r="H15" s="40">
        <f>H18</f>
        <v>0</v>
      </c>
      <c r="I15" s="40">
        <f>I18</f>
        <v>356.23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1628.6769999999999</v>
      </c>
      <c r="G18" s="40">
        <v>1272.4469999999999</v>
      </c>
      <c r="H18" s="40">
        <v>0</v>
      </c>
      <c r="I18" s="40">
        <v>356.23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2707.1673000000001</v>
      </c>
      <c r="G19" s="40"/>
      <c r="H19" s="40"/>
      <c r="I19" s="40">
        <f>I20</f>
        <v>1272.4469999999999</v>
      </c>
      <c r="J19" s="40">
        <f>J22</f>
        <v>1434.7203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1272.4469999999999</v>
      </c>
      <c r="G20" s="40"/>
      <c r="H20" s="40"/>
      <c r="I20" s="40">
        <f>G18</f>
        <v>1272.4469999999999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1434.7203</v>
      </c>
      <c r="G22" s="40"/>
      <c r="H22" s="40"/>
      <c r="I22" s="40"/>
      <c r="J22" s="40">
        <f>J26+J33</f>
        <v>1434.7203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1605.4180000000001</v>
      </c>
      <c r="G24" s="40">
        <v>0</v>
      </c>
      <c r="H24" s="40">
        <v>0</v>
      </c>
      <c r="I24" s="40">
        <f>I26</f>
        <v>186.97900000000001</v>
      </c>
      <c r="J24" s="40">
        <f>J26</f>
        <v>1418.4390000000001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1605.4180000000001</v>
      </c>
      <c r="G26" s="40">
        <v>0</v>
      </c>
      <c r="H26" s="40">
        <v>0</v>
      </c>
      <c r="I26" s="40">
        <v>186.97900000000001</v>
      </c>
      <c r="J26" s="40">
        <v>1418.4390000000001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2707.1673000000001</v>
      </c>
      <c r="G29" s="40">
        <f>G18</f>
        <v>1272.4469999999999</v>
      </c>
      <c r="H29" s="40"/>
      <c r="I29" s="40">
        <f>J19</f>
        <v>1434.7203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23.258999999999787</v>
      </c>
      <c r="G33" s="40">
        <v>0</v>
      </c>
      <c r="H33" s="40">
        <v>0</v>
      </c>
      <c r="I33" s="40">
        <f>(F15-F24)*0.3</f>
        <v>6.9776999999999356</v>
      </c>
      <c r="J33" s="40">
        <f>F15-F24-I33</f>
        <v>16.281299999999852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4.1112000000000002</v>
      </c>
      <c r="G37" s="40">
        <f>G40</f>
        <v>3.2437368000000002</v>
      </c>
      <c r="H37" s="40">
        <v>0</v>
      </c>
      <c r="I37" s="40">
        <f>I40</f>
        <v>0.86746319999999999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4.1112000000000002</v>
      </c>
      <c r="G40" s="40">
        <f>4.1112-I40</f>
        <v>3.2437368000000002</v>
      </c>
      <c r="H40" s="40">
        <v>0</v>
      </c>
      <c r="I40" s="40">
        <f>4.1112*0.211</f>
        <v>0.86746319999999999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6.4012758000000005</v>
      </c>
      <c r="G41" s="40"/>
      <c r="H41" s="40"/>
      <c r="I41" s="40">
        <f>I42</f>
        <v>3.2437368000000002</v>
      </c>
      <c r="J41" s="40">
        <f>J44</f>
        <v>3.1575389999999999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3.2437368000000002</v>
      </c>
      <c r="G42" s="40"/>
      <c r="H42" s="40"/>
      <c r="I42" s="40">
        <f>G40</f>
        <v>3.2437368000000002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3.1575389999999999</v>
      </c>
      <c r="G44" s="40"/>
      <c r="H44" s="40"/>
      <c r="I44" s="40"/>
      <c r="J44" s="40">
        <f>J48+J55</f>
        <v>3.1575389999999999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3.99</v>
      </c>
      <c r="G46" s="40">
        <v>0</v>
      </c>
      <c r="H46" s="40">
        <v>0</v>
      </c>
      <c r="I46" s="40">
        <f>I48</f>
        <v>0.91730100000000003</v>
      </c>
      <c r="J46" s="40">
        <f>J48</f>
        <v>3.0726990000000001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3.99</v>
      </c>
      <c r="G48" s="40">
        <v>0</v>
      </c>
      <c r="H48" s="40">
        <v>0</v>
      </c>
      <c r="I48" s="40">
        <f>3.99*0.2299</f>
        <v>0.91730100000000003</v>
      </c>
      <c r="J48" s="40">
        <f>3.99-I48</f>
        <v>3.0726990000000001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6.4012758000000005</v>
      </c>
      <c r="G51" s="40">
        <f>I42</f>
        <v>3.2437368000000002</v>
      </c>
      <c r="H51" s="40"/>
      <c r="I51" s="40">
        <f>J44</f>
        <v>3.1575389999999999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0.12119999999999997</v>
      </c>
      <c r="G55" s="40">
        <v>0</v>
      </c>
      <c r="H55" s="40">
        <v>0</v>
      </c>
      <c r="I55" s="40">
        <f>(F37-F46)*0.3</f>
        <v>3.635999999999999E-2</v>
      </c>
      <c r="J55" s="40">
        <f>F37-F46-I55</f>
        <v>8.4839999999999985E-2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3.99</v>
      </c>
      <c r="G59" s="40"/>
      <c r="H59" s="40"/>
      <c r="I59" s="40">
        <f>I48</f>
        <v>0.91730100000000003</v>
      </c>
      <c r="J59" s="40">
        <f>J48</f>
        <v>3.0726990000000001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1605.4180000000001</v>
      </c>
      <c r="G68" s="41">
        <f>G69</f>
        <v>0</v>
      </c>
      <c r="H68" s="41">
        <f>H69</f>
        <v>0</v>
      </c>
      <c r="I68" s="41">
        <f>I69</f>
        <v>186.97900000000001</v>
      </c>
      <c r="J68" s="41">
        <f>J69</f>
        <v>1418.4390000000001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1605.4180000000001</v>
      </c>
      <c r="G69" s="41">
        <f>G26</f>
        <v>0</v>
      </c>
      <c r="H69" s="41">
        <f>H26</f>
        <v>0</v>
      </c>
      <c r="I69" s="41">
        <f>I26</f>
        <v>186.97900000000001</v>
      </c>
      <c r="J69" s="41">
        <f>J26</f>
        <v>1418.4390000000001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2400.0999100000004</v>
      </c>
      <c r="G79" s="42">
        <f>G80</f>
        <v>0</v>
      </c>
      <c r="H79" s="42">
        <f>H80</f>
        <v>0</v>
      </c>
      <c r="I79" s="42">
        <f>I80</f>
        <v>279.53360500000002</v>
      </c>
      <c r="J79" s="42">
        <f>J80</f>
        <v>2120.5663050000003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2400.0999100000004</v>
      </c>
      <c r="G80" s="42">
        <v>0</v>
      </c>
      <c r="H80" s="42">
        <v>0</v>
      </c>
      <c r="I80" s="41">
        <f>I69*1.495</f>
        <v>279.53360500000002</v>
      </c>
      <c r="J80" s="41">
        <f>J69*1.495</f>
        <v>2120.5663050000003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H26" sqref="H2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70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2190.335</v>
      </c>
      <c r="G15" s="40">
        <f>G18</f>
        <v>1825.13</v>
      </c>
      <c r="H15" s="40">
        <f>H18</f>
        <v>0</v>
      </c>
      <c r="I15" s="40">
        <f>I18</f>
        <v>365.20499999999998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2190.335</v>
      </c>
      <c r="G18" s="40">
        <v>1825.13</v>
      </c>
      <c r="H18" s="40">
        <v>0</v>
      </c>
      <c r="I18" s="40">
        <v>365.20499999999998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3775.4061000000002</v>
      </c>
      <c r="G19" s="40"/>
      <c r="H19" s="40"/>
      <c r="I19" s="40">
        <f>I20</f>
        <v>1825.13</v>
      </c>
      <c r="J19" s="40">
        <f>J22</f>
        <v>1950.2761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1825.13</v>
      </c>
      <c r="G20" s="40"/>
      <c r="H20" s="40"/>
      <c r="I20" s="40">
        <f>G18</f>
        <v>1825.13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1950.2761</v>
      </c>
      <c r="G22" s="40"/>
      <c r="H22" s="40"/>
      <c r="I22" s="40"/>
      <c r="J22" s="40">
        <f>J26+J33</f>
        <v>1950.2761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2010.7720000000002</v>
      </c>
      <c r="G24" s="40">
        <v>0</v>
      </c>
      <c r="H24" s="40">
        <v>0</v>
      </c>
      <c r="I24" s="40">
        <f>I26</f>
        <v>186.19</v>
      </c>
      <c r="J24" s="40">
        <f>J26</f>
        <v>1824.5820000000001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2010.7720000000002</v>
      </c>
      <c r="G26" s="40">
        <v>0</v>
      </c>
      <c r="H26" s="40">
        <v>0</v>
      </c>
      <c r="I26" s="40">
        <v>186.19</v>
      </c>
      <c r="J26" s="40">
        <v>1824.5820000000001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3775.4061000000002</v>
      </c>
      <c r="G29" s="40">
        <f>G18</f>
        <v>1825.13</v>
      </c>
      <c r="H29" s="40"/>
      <c r="I29" s="40">
        <f>J19</f>
        <v>1950.2761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179.56299999999987</v>
      </c>
      <c r="G33" s="40">
        <v>0</v>
      </c>
      <c r="H33" s="40">
        <v>0</v>
      </c>
      <c r="I33" s="40">
        <f>(F15-F24)*0.3</f>
        <v>53.868899999999961</v>
      </c>
      <c r="J33" s="40">
        <f>F15-F24-I33</f>
        <v>125.69409999999991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4.3506999999999998</v>
      </c>
      <c r="G37" s="40">
        <f>G40</f>
        <v>3.4327022999999999</v>
      </c>
      <c r="H37" s="40">
        <v>0</v>
      </c>
      <c r="I37" s="40">
        <f>I40</f>
        <v>0.91799769999999992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4.3506999999999998</v>
      </c>
      <c r="G40" s="40">
        <f>4.3507-I40</f>
        <v>3.4327022999999999</v>
      </c>
      <c r="H40" s="40">
        <v>0</v>
      </c>
      <c r="I40" s="40">
        <f>4.3507*0.211</f>
        <v>0.91799769999999992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6.7727244599999992</v>
      </c>
      <c r="G41" s="40"/>
      <c r="H41" s="40"/>
      <c r="I41" s="40">
        <f>I42</f>
        <v>3.4327022999999999</v>
      </c>
      <c r="J41" s="40">
        <f>J44</f>
        <v>3.3400221599999997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3.4327022999999999</v>
      </c>
      <c r="G42" s="40"/>
      <c r="H42" s="40"/>
      <c r="I42" s="40">
        <f>G40</f>
        <v>3.4327022999999999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3.3400221599999997</v>
      </c>
      <c r="G44" s="40"/>
      <c r="H44" s="40"/>
      <c r="I44" s="40"/>
      <c r="J44" s="40">
        <f>J48+J55</f>
        <v>3.3400221599999997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4.2016</v>
      </c>
      <c r="G46" s="40">
        <v>0</v>
      </c>
      <c r="H46" s="40">
        <v>0</v>
      </c>
      <c r="I46" s="40">
        <f>I48</f>
        <v>0.96594784</v>
      </c>
      <c r="J46" s="40">
        <f>J48</f>
        <v>3.2356521599999999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4.2016</v>
      </c>
      <c r="G48" s="40">
        <v>0</v>
      </c>
      <c r="H48" s="40">
        <v>0</v>
      </c>
      <c r="I48" s="40">
        <f>4.2016*0.2299</f>
        <v>0.96594784</v>
      </c>
      <c r="J48" s="40">
        <f>4.2016-I48</f>
        <v>3.2356521599999999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6.7727244599999992</v>
      </c>
      <c r="G51" s="40">
        <f>I42</f>
        <v>3.4327022999999999</v>
      </c>
      <c r="H51" s="40"/>
      <c r="I51" s="40">
        <f>J44</f>
        <v>3.3400221599999997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0.14909999999999979</v>
      </c>
      <c r="G55" s="40">
        <v>0</v>
      </c>
      <c r="H55" s="40">
        <v>0</v>
      </c>
      <c r="I55" s="40">
        <f>(F37-F46)*0.3</f>
        <v>4.4729999999999936E-2</v>
      </c>
      <c r="J55" s="40">
        <f>F37-F46-I55</f>
        <v>0.10436999999999985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4.2016</v>
      </c>
      <c r="G59" s="40"/>
      <c r="H59" s="40"/>
      <c r="I59" s="40">
        <f>I48</f>
        <v>0.96594784</v>
      </c>
      <c r="J59" s="40">
        <f>J48</f>
        <v>3.2356521599999999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2010.7720000000002</v>
      </c>
      <c r="G68" s="41">
        <f>G69</f>
        <v>0</v>
      </c>
      <c r="H68" s="41">
        <f>H69</f>
        <v>0</v>
      </c>
      <c r="I68" s="41">
        <f>I69</f>
        <v>186.19</v>
      </c>
      <c r="J68" s="41">
        <f>J69</f>
        <v>1824.5820000000001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2010.7720000000002</v>
      </c>
      <c r="G69" s="41">
        <f>G26</f>
        <v>0</v>
      </c>
      <c r="H69" s="41">
        <f>H26</f>
        <v>0</v>
      </c>
      <c r="I69" s="41">
        <f>I26</f>
        <v>186.19</v>
      </c>
      <c r="J69" s="41">
        <f>J26</f>
        <v>1824.5820000000001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3006.1041400000004</v>
      </c>
      <c r="G79" s="42">
        <f>G80</f>
        <v>0</v>
      </c>
      <c r="H79" s="42">
        <f>H80</f>
        <v>0</v>
      </c>
      <c r="I79" s="42">
        <f>I80</f>
        <v>278.35405000000003</v>
      </c>
      <c r="J79" s="42">
        <f>J80</f>
        <v>2727.7500900000005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3006.1041400000004</v>
      </c>
      <c r="G80" s="42">
        <v>0</v>
      </c>
      <c r="H80" s="42">
        <v>0</v>
      </c>
      <c r="I80" s="41">
        <f>I69*1.495</f>
        <v>278.35405000000003</v>
      </c>
      <c r="J80" s="41">
        <f>J69*1.495</f>
        <v>2727.7500900000005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2"/>
  <sheetViews>
    <sheetView view="pageBreakPreview" topLeftCell="C7" zoomScaleNormal="100" zoomScaleSheetLayoutView="100" workbookViewId="0">
      <selection activeCell="J26" sqref="J2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t="15" hidden="1" x14ac:dyDescent="0.25"/>
    <row r="2" spans="1:17" ht="15" hidden="1" x14ac:dyDescent="0.25"/>
    <row r="3" spans="1:17" ht="15" hidden="1" x14ac:dyDescent="0.25"/>
    <row r="4" spans="1:17" ht="15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5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5" hidden="1" x14ac:dyDescent="0.25">
      <c r="A6" s="4"/>
    </row>
    <row r="7" spans="1:17" ht="14.25" x14ac:dyDescent="0.25">
      <c r="A7" s="4"/>
      <c r="D7" s="5"/>
      <c r="E7" s="5"/>
      <c r="F7" s="32" t="s">
        <v>57</v>
      </c>
      <c r="G7" s="5"/>
      <c r="H7" s="5"/>
      <c r="I7" s="5"/>
      <c r="J7" s="5"/>
      <c r="K7" s="6"/>
      <c r="Q7" s="7"/>
    </row>
    <row r="8" spans="1:17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5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x14ac:dyDescent="0.25">
      <c r="C12" s="5"/>
      <c r="D12" s="46"/>
      <c r="E12" s="46"/>
      <c r="F12" s="46"/>
      <c r="G12" s="31" t="s">
        <v>18</v>
      </c>
      <c r="H12" s="31" t="s">
        <v>19</v>
      </c>
      <c r="I12" s="31" t="s">
        <v>20</v>
      </c>
      <c r="J12" s="31" t="s">
        <v>21</v>
      </c>
      <c r="K12" s="14"/>
    </row>
    <row r="13" spans="1:17" ht="15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x14ac:dyDescent="0.25">
      <c r="C14" s="18"/>
      <c r="D14" s="47" t="s">
        <v>22</v>
      </c>
      <c r="E14" s="47"/>
      <c r="F14" s="47"/>
      <c r="G14" s="47"/>
      <c r="H14" s="47"/>
      <c r="I14" s="47"/>
      <c r="J14" s="47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5453.9780000000001</v>
      </c>
      <c r="G15" s="23">
        <f>G18</f>
        <v>4365.4970000000003</v>
      </c>
      <c r="H15" s="23">
        <v>0</v>
      </c>
      <c r="I15" s="23">
        <f>I18</f>
        <v>1088.481</v>
      </c>
      <c r="J15" s="23">
        <f>J18</f>
        <v>0</v>
      </c>
      <c r="K15" s="19"/>
    </row>
    <row r="16" spans="1:17" s="17" customForma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x14ac:dyDescent="0.25">
      <c r="C18" s="18"/>
      <c r="D18" s="20" t="s">
        <v>26</v>
      </c>
      <c r="E18" s="21">
        <v>40</v>
      </c>
      <c r="F18" s="22">
        <f t="shared" si="0"/>
        <v>5453.9780000000001</v>
      </c>
      <c r="G18" s="23">
        <f>июль!G18+август!G18+сентябрь!G18</f>
        <v>4365.4970000000003</v>
      </c>
      <c r="H18" s="23">
        <f>июль!H18+август!H18+сентябрь!H18</f>
        <v>0</v>
      </c>
      <c r="I18" s="23">
        <f>июль!I18+август!I18+сентябрь!I18</f>
        <v>1088.481</v>
      </c>
      <c r="J18" s="23">
        <f>июль!J18+август!J18+сентябрь!J18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9149.5748000000003</v>
      </c>
      <c r="G19" s="23"/>
      <c r="H19" s="23"/>
      <c r="I19" s="23">
        <f>I20</f>
        <v>4365.4970000000003</v>
      </c>
      <c r="J19" s="23">
        <f>J22</f>
        <v>4784.0778</v>
      </c>
      <c r="K19" s="19"/>
    </row>
    <row r="20" spans="3:11" s="17" customFormat="1" x14ac:dyDescent="0.25">
      <c r="C20" s="18"/>
      <c r="D20" s="20" t="s">
        <v>18</v>
      </c>
      <c r="E20" s="21">
        <v>60</v>
      </c>
      <c r="F20" s="22">
        <f t="shared" si="0"/>
        <v>4365.4970000000003</v>
      </c>
      <c r="G20" s="23"/>
      <c r="H20" s="23"/>
      <c r="I20" s="23">
        <f>G18</f>
        <v>4365.4970000000003</v>
      </c>
      <c r="J20" s="23"/>
      <c r="K20" s="19"/>
    </row>
    <row r="21" spans="3:11" s="17" customForma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x14ac:dyDescent="0.25">
      <c r="C22" s="18"/>
      <c r="D22" s="20" t="s">
        <v>20</v>
      </c>
      <c r="E22" s="21">
        <v>80</v>
      </c>
      <c r="F22" s="22">
        <f t="shared" si="0"/>
        <v>4784.0778</v>
      </c>
      <c r="G22" s="23"/>
      <c r="H22" s="23"/>
      <c r="I22" s="23"/>
      <c r="J22" s="23">
        <f>J26+J33</f>
        <v>4784.0778</v>
      </c>
      <c r="K22" s="19"/>
    </row>
    <row r="23" spans="3:11" s="17" customForma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x14ac:dyDescent="0.25">
      <c r="C24" s="18"/>
      <c r="D24" s="20" t="s">
        <v>29</v>
      </c>
      <c r="E24" s="21">
        <v>100</v>
      </c>
      <c r="F24" s="22">
        <f t="shared" si="0"/>
        <v>5238.8940000000002</v>
      </c>
      <c r="G24" s="23">
        <f t="shared" ref="G24:H24" si="1">G26</f>
        <v>0</v>
      </c>
      <c r="H24" s="23">
        <f t="shared" si="1"/>
        <v>0</v>
      </c>
      <c r="I24" s="23">
        <f>I26</f>
        <v>605.375</v>
      </c>
      <c r="J24" s="23">
        <f>J26</f>
        <v>4633.5190000000002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x14ac:dyDescent="0.25">
      <c r="C26" s="18"/>
      <c r="D26" s="20" t="s">
        <v>31</v>
      </c>
      <c r="E26" s="21">
        <v>120</v>
      </c>
      <c r="F26" s="22">
        <f t="shared" si="0"/>
        <v>5238.8940000000002</v>
      </c>
      <c r="G26" s="23">
        <f>июль!G26+август!G26+сентябрь!G26</f>
        <v>0</v>
      </c>
      <c r="H26" s="23">
        <f>июль!H26+август!H26+сентябрь!H26</f>
        <v>0</v>
      </c>
      <c r="I26" s="23">
        <f>июль!I26+август!I26+сентябрь!I26</f>
        <v>605.375</v>
      </c>
      <c r="J26" s="23">
        <f>июль!J26+август!J26+сентябрь!J26</f>
        <v>4633.5190000000002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x14ac:dyDescent="0.25">
      <c r="C29" s="18"/>
      <c r="D29" s="20" t="s">
        <v>34</v>
      </c>
      <c r="E29" s="21">
        <v>150</v>
      </c>
      <c r="F29" s="22">
        <f t="shared" si="0"/>
        <v>9149.5748000000003</v>
      </c>
      <c r="G29" s="23">
        <f>G18</f>
        <v>4365.4970000000003</v>
      </c>
      <c r="H29" s="23"/>
      <c r="I29" s="23">
        <f>J19</f>
        <v>4784.0778</v>
      </c>
      <c r="J29" s="23"/>
      <c r="K29" s="19"/>
    </row>
    <row r="30" spans="3:11" s="17" customForma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x14ac:dyDescent="0.25">
      <c r="C33" s="18"/>
      <c r="D33" s="20" t="s">
        <v>38</v>
      </c>
      <c r="E33" s="21">
        <v>190</v>
      </c>
      <c r="F33" s="22">
        <f t="shared" si="0"/>
        <v>215.08399999999983</v>
      </c>
      <c r="G33" s="23">
        <f>июль!G33+август!G33+сентябрь!G33</f>
        <v>0</v>
      </c>
      <c r="H33" s="23">
        <f>июль!H33+август!H33+сентябрь!H33</f>
        <v>0</v>
      </c>
      <c r="I33" s="23">
        <f>июль!I33+август!I33+сентябрь!I33</f>
        <v>64.525199999999955</v>
      </c>
      <c r="J33" s="23">
        <f>июль!J33+август!J33+сентябрь!J33</f>
        <v>150.55879999999988</v>
      </c>
      <c r="K33" s="19"/>
    </row>
    <row r="34" spans="3:11" s="17" customForma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x14ac:dyDescent="0.25">
      <c r="C36" s="18"/>
      <c r="D36" s="47" t="s">
        <v>41</v>
      </c>
      <c r="E36" s="47"/>
      <c r="F36" s="47"/>
      <c r="G36" s="47"/>
      <c r="H36" s="47"/>
      <c r="I36" s="47"/>
      <c r="J36" s="47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4.1498333333333335</v>
      </c>
      <c r="G37" s="23">
        <f>G40</f>
        <v>3.2742184999999999</v>
      </c>
      <c r="H37" s="23">
        <f t="shared" ref="H37:J37" si="2">H40</f>
        <v>0</v>
      </c>
      <c r="I37" s="23">
        <f t="shared" si="2"/>
        <v>0.87561483333333323</v>
      </c>
      <c r="J37" s="23">
        <f t="shared" si="2"/>
        <v>0</v>
      </c>
      <c r="K37" s="19"/>
    </row>
    <row r="38" spans="3:11" s="17" customForma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x14ac:dyDescent="0.25">
      <c r="C40" s="18"/>
      <c r="D40" s="20" t="s">
        <v>26</v>
      </c>
      <c r="E40" s="21">
        <v>330</v>
      </c>
      <c r="F40" s="22">
        <f t="shared" si="0"/>
        <v>4.1498333333333335</v>
      </c>
      <c r="G40" s="23">
        <f>(июль!G40+август!G40+сентябрь!G40)/3</f>
        <v>3.2742184999999999</v>
      </c>
      <c r="H40" s="23">
        <f>(июль!H40+август!H40+сентябрь!H40)/3</f>
        <v>0</v>
      </c>
      <c r="I40" s="23">
        <f>(июль!I40+август!I40+сентябрь!I40)/3</f>
        <v>0.87561483333333323</v>
      </c>
      <c r="J40" s="23">
        <f>(июль!J40+август!J40+сентябрь!J40)/3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6.4611889066666661</v>
      </c>
      <c r="G41" s="23"/>
      <c r="H41" s="23"/>
      <c r="I41" s="23">
        <f>I42</f>
        <v>3.2742184999999999</v>
      </c>
      <c r="J41" s="23">
        <f>J44</f>
        <v>3.1869704066666662</v>
      </c>
      <c r="K41" s="19"/>
    </row>
    <row r="42" spans="3:11" s="17" customFormat="1" x14ac:dyDescent="0.25">
      <c r="C42" s="18"/>
      <c r="D42" s="20" t="s">
        <v>18</v>
      </c>
      <c r="E42" s="21">
        <v>350</v>
      </c>
      <c r="F42" s="22">
        <f t="shared" si="0"/>
        <v>3.2742184999999999</v>
      </c>
      <c r="G42" s="23"/>
      <c r="H42" s="23"/>
      <c r="I42" s="23">
        <f>G40</f>
        <v>3.2742184999999999</v>
      </c>
      <c r="J42" s="23"/>
      <c r="K42" s="19"/>
    </row>
    <row r="43" spans="3:11" s="17" customForma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x14ac:dyDescent="0.25">
      <c r="C44" s="18"/>
      <c r="D44" s="20" t="s">
        <v>20</v>
      </c>
      <c r="E44" s="21">
        <v>370</v>
      </c>
      <c r="F44" s="22">
        <f t="shared" si="0"/>
        <v>3.1869704066666662</v>
      </c>
      <c r="G44" s="23"/>
      <c r="H44" s="23"/>
      <c r="I44" s="23"/>
      <c r="J44" s="23">
        <f>J48+J55</f>
        <v>3.1869704066666662</v>
      </c>
      <c r="K44" s="19"/>
    </row>
    <row r="45" spans="3:11" s="17" customForma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x14ac:dyDescent="0.25">
      <c r="C46" s="18"/>
      <c r="D46" s="20" t="s">
        <v>29</v>
      </c>
      <c r="E46" s="21">
        <v>390</v>
      </c>
      <c r="F46" s="22">
        <f t="shared" si="0"/>
        <v>4.0240666666666662</v>
      </c>
      <c r="G46" s="23">
        <f t="shared" ref="G46:H46" si="3">G48</f>
        <v>0</v>
      </c>
      <c r="H46" s="23">
        <f t="shared" si="3"/>
        <v>0</v>
      </c>
      <c r="I46" s="23">
        <f>I48</f>
        <v>0.92513292666666669</v>
      </c>
      <c r="J46" s="23">
        <f>J48</f>
        <v>3.0989337399999997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x14ac:dyDescent="0.25">
      <c r="C48" s="18"/>
      <c r="D48" s="20" t="s">
        <v>31</v>
      </c>
      <c r="E48" s="21">
        <v>410</v>
      </c>
      <c r="F48" s="22">
        <f t="shared" si="0"/>
        <v>4.0240666666666662</v>
      </c>
      <c r="G48" s="23">
        <f>(июль!G48+август!G48+сентябрь!G48)/3</f>
        <v>0</v>
      </c>
      <c r="H48" s="23">
        <f>(июль!H48+август!H48+сентябрь!H48)/3</f>
        <v>0</v>
      </c>
      <c r="I48" s="23">
        <f>(июль!I48+август!I48+сентябрь!I48)/3</f>
        <v>0.92513292666666669</v>
      </c>
      <c r="J48" s="23">
        <f>(июль!J48+август!J48+сентябрь!J48)/3</f>
        <v>3.0989337399999997</v>
      </c>
      <c r="K48" s="19"/>
    </row>
    <row r="49" spans="3:11" s="17" customForma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x14ac:dyDescent="0.25">
      <c r="C51" s="18"/>
      <c r="D51" s="20" t="s">
        <v>34</v>
      </c>
      <c r="E51" s="21">
        <v>440</v>
      </c>
      <c r="F51" s="22">
        <f t="shared" si="0"/>
        <v>6.4611889066666661</v>
      </c>
      <c r="G51" s="23">
        <f>I42</f>
        <v>3.2742184999999999</v>
      </c>
      <c r="H51" s="23"/>
      <c r="I51" s="23">
        <f>J44</f>
        <v>3.1869704066666662</v>
      </c>
      <c r="J51" s="23"/>
      <c r="K51" s="19"/>
    </row>
    <row r="52" spans="3:11" s="17" customForma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x14ac:dyDescent="0.25">
      <c r="C55" s="18"/>
      <c r="D55" s="20" t="s">
        <v>38</v>
      </c>
      <c r="E55" s="21">
        <v>480</v>
      </c>
      <c r="F55" s="22">
        <f t="shared" si="0"/>
        <v>0.12576666666666664</v>
      </c>
      <c r="G55" s="23">
        <f>(июль!G55+август!G55+сентябрь!G55)/3</f>
        <v>0</v>
      </c>
      <c r="H55" s="23">
        <f>(июль!H55+август!H55+сентябрь!H55)/3</f>
        <v>0</v>
      </c>
      <c r="I55" s="23">
        <f>(июль!I55+август!I55+сентябрь!I55)/3</f>
        <v>3.7729999999999993E-2</v>
      </c>
      <c r="J55" s="23">
        <f>(июль!J55+август!J55+сентябрь!J55)/3</f>
        <v>8.8036666666666652E-2</v>
      </c>
      <c r="K55" s="19"/>
    </row>
    <row r="56" spans="3:11" s="17" customForma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x14ac:dyDescent="0.25">
      <c r="C58" s="18"/>
      <c r="D58" s="47" t="s">
        <v>41</v>
      </c>
      <c r="E58" s="47"/>
      <c r="F58" s="47"/>
      <c r="G58" s="47"/>
      <c r="H58" s="47"/>
      <c r="I58" s="47"/>
      <c r="J58" s="47"/>
      <c r="K58" s="19"/>
    </row>
    <row r="59" spans="3:11" s="17" customForma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x14ac:dyDescent="0.25">
      <c r="C62" s="18"/>
      <c r="D62" s="47" t="s">
        <v>46</v>
      </c>
      <c r="E62" s="47"/>
      <c r="F62" s="47"/>
      <c r="G62" s="47"/>
      <c r="H62" s="47"/>
      <c r="I62" s="47"/>
      <c r="J62" s="47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5238.8940000000002</v>
      </c>
      <c r="G68" s="23">
        <f>июль!G68+август!G68+сентябрь!G68</f>
        <v>0</v>
      </c>
      <c r="H68" s="23">
        <f>июль!H68+август!H68+сентябрь!H68</f>
        <v>0</v>
      </c>
      <c r="I68" s="23">
        <f>июль!I68+август!I68+сентябрь!I68</f>
        <v>605.375</v>
      </c>
      <c r="J68" s="23">
        <f>июль!J68+август!J68+сентябрь!J68</f>
        <v>4633.5190000000002</v>
      </c>
      <c r="K68" s="14"/>
    </row>
    <row r="69" spans="3:12" x14ac:dyDescent="0.25">
      <c r="C69" s="5"/>
      <c r="D69" s="20" t="s">
        <v>48</v>
      </c>
      <c r="E69" s="21">
        <v>760</v>
      </c>
      <c r="F69" s="22">
        <f t="shared" si="0"/>
        <v>5238.8940000000002</v>
      </c>
      <c r="G69" s="23">
        <f>июль!G69+август!G69+сентябрь!G69</f>
        <v>0</v>
      </c>
      <c r="H69" s="23">
        <f>июль!H69+август!H69+сентябрь!H69</f>
        <v>0</v>
      </c>
      <c r="I69" s="23">
        <f>июль!I69+август!I69+сентябрь!I69</f>
        <v>605.375</v>
      </c>
      <c r="J69" s="23">
        <f>июль!J69+август!J69+сентябрь!J69</f>
        <v>4633.5190000000002</v>
      </c>
      <c r="K69" s="14"/>
    </row>
    <row r="70" spans="3:12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x14ac:dyDescent="0.25">
      <c r="C73" s="5"/>
      <c r="D73" s="47" t="s">
        <v>53</v>
      </c>
      <c r="E73" s="47"/>
      <c r="F73" s="47"/>
      <c r="G73" s="47"/>
      <c r="H73" s="47"/>
      <c r="I73" s="47"/>
      <c r="J73" s="47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7832.1465300000009</v>
      </c>
      <c r="G79" s="23">
        <f>июль!G79+август!G79+сентябрь!G79</f>
        <v>0</v>
      </c>
      <c r="H79" s="23">
        <f>июль!H79+август!H79+сентябрь!H79</f>
        <v>0</v>
      </c>
      <c r="I79" s="23">
        <f>июль!I79+август!I79+сентябрь!I79</f>
        <v>905.0356250000001</v>
      </c>
      <c r="J79" s="23">
        <f>июль!J79+август!J79+сентябрь!J79</f>
        <v>6927.1109050000005</v>
      </c>
      <c r="K79" s="26"/>
      <c r="L79" s="27"/>
    </row>
    <row r="80" spans="3:12" x14ac:dyDescent="0.25">
      <c r="C80" s="5"/>
      <c r="D80" s="20" t="s">
        <v>48</v>
      </c>
      <c r="E80" s="21">
        <v>860</v>
      </c>
      <c r="F80" s="22">
        <f t="shared" ref="F80:F86" si="4">SUM(G80:J80)</f>
        <v>7832.1465300000009</v>
      </c>
      <c r="G80" s="23">
        <f>июль!G80+август!G80+сентябрь!G80</f>
        <v>0</v>
      </c>
      <c r="H80" s="23">
        <f>июль!H80+август!H80+сентябрь!H80</f>
        <v>0</v>
      </c>
      <c r="I80" s="23">
        <f>июль!I80+август!I80+сентябрь!I80</f>
        <v>905.0356250000001</v>
      </c>
      <c r="J80" s="23">
        <f>июль!J80+август!J80+сентябрь!J80</f>
        <v>6927.1109050000005</v>
      </c>
      <c r="K80" s="26"/>
      <c r="L80" s="27"/>
    </row>
    <row r="81" spans="3:19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74:J86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F8" sqref="F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71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2369.2490000000003</v>
      </c>
      <c r="G15" s="40">
        <f>G18</f>
        <v>2035.4280000000001</v>
      </c>
      <c r="H15" s="40">
        <f>H18</f>
        <v>0</v>
      </c>
      <c r="I15" s="40">
        <f>I18</f>
        <v>333.82100000000003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2369.2490000000003</v>
      </c>
      <c r="G18" s="40">
        <v>2035.4280000000001</v>
      </c>
      <c r="H18" s="40">
        <v>0</v>
      </c>
      <c r="I18" s="40">
        <v>333.82100000000003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4018.1727000000001</v>
      </c>
      <c r="G19" s="40"/>
      <c r="H19" s="40"/>
      <c r="I19" s="40">
        <f>I20</f>
        <v>2035.4280000000001</v>
      </c>
      <c r="J19" s="40">
        <f>J22</f>
        <v>1982.7447000000002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2035.4280000000001</v>
      </c>
      <c r="G20" s="40"/>
      <c r="H20" s="40"/>
      <c r="I20" s="40">
        <f>G18</f>
        <v>2035.4280000000001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1982.7447000000002</v>
      </c>
      <c r="G22" s="40"/>
      <c r="H22" s="40"/>
      <c r="I22" s="40"/>
      <c r="J22" s="40">
        <f>J26+J33</f>
        <v>1982.7447000000002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1923.1179999999999</v>
      </c>
      <c r="G24" s="40">
        <v>0</v>
      </c>
      <c r="H24" s="40">
        <v>0</v>
      </c>
      <c r="I24" s="40">
        <f>I26</f>
        <v>252.66499999999999</v>
      </c>
      <c r="J24" s="40">
        <f>J26</f>
        <v>1670.453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1923.1179999999999</v>
      </c>
      <c r="G26" s="40">
        <v>0</v>
      </c>
      <c r="H26" s="40">
        <v>0</v>
      </c>
      <c r="I26" s="40">
        <v>252.66499999999999</v>
      </c>
      <c r="J26" s="40">
        <v>1670.453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4018.1727000000001</v>
      </c>
      <c r="G29" s="40">
        <f>G18</f>
        <v>2035.4280000000001</v>
      </c>
      <c r="H29" s="40"/>
      <c r="I29" s="40">
        <f>J19</f>
        <v>1982.7447000000002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446.13100000000031</v>
      </c>
      <c r="G33" s="40">
        <v>0</v>
      </c>
      <c r="H33" s="40">
        <v>0</v>
      </c>
      <c r="I33" s="40">
        <f>(F15-F24)*0.3</f>
        <v>133.83930000000009</v>
      </c>
      <c r="J33" s="40">
        <f>F15-F24-I33</f>
        <v>312.29170000000022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4.7203999999999997</v>
      </c>
      <c r="G37" s="40">
        <f>G40</f>
        <v>3.7243955999999998</v>
      </c>
      <c r="H37" s="40">
        <v>0</v>
      </c>
      <c r="I37" s="40">
        <f>I40</f>
        <v>0.9960043999999999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4.7203999999999997</v>
      </c>
      <c r="G40" s="40">
        <f>4.7204-I40</f>
        <v>3.7243955999999998</v>
      </c>
      <c r="H40" s="40">
        <v>0</v>
      </c>
      <c r="I40" s="40">
        <f>4.7204*0.211</f>
        <v>0.9960043999999999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7.34710485</v>
      </c>
      <c r="G41" s="40"/>
      <c r="H41" s="40"/>
      <c r="I41" s="40">
        <f>I42</f>
        <v>3.7243955999999998</v>
      </c>
      <c r="J41" s="40">
        <f>J44</f>
        <v>3.6227092500000002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3.7243955999999998</v>
      </c>
      <c r="G42" s="40"/>
      <c r="H42" s="40"/>
      <c r="I42" s="40">
        <f>G40</f>
        <v>3.7243955999999998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3.6227092500000002</v>
      </c>
      <c r="G44" s="40"/>
      <c r="H44" s="40"/>
      <c r="I44" s="40"/>
      <c r="J44" s="40">
        <f>J48+J55</f>
        <v>3.6227092500000002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4.5425000000000004</v>
      </c>
      <c r="G46" s="40">
        <v>0</v>
      </c>
      <c r="H46" s="40">
        <v>0</v>
      </c>
      <c r="I46" s="40">
        <f>I48</f>
        <v>1.04432075</v>
      </c>
      <c r="J46" s="40">
        <f>J48</f>
        <v>3.4981792500000006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4.5425000000000004</v>
      </c>
      <c r="G48" s="40">
        <v>0</v>
      </c>
      <c r="H48" s="40">
        <v>0</v>
      </c>
      <c r="I48" s="40">
        <f>4.5425*0.2299</f>
        <v>1.04432075</v>
      </c>
      <c r="J48" s="40">
        <f>4.5425-I48</f>
        <v>3.4981792500000006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7.34710485</v>
      </c>
      <c r="G51" s="40">
        <f>I42</f>
        <v>3.7243955999999998</v>
      </c>
      <c r="H51" s="40"/>
      <c r="I51" s="40">
        <f>J44</f>
        <v>3.6227092500000002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0.17789999999999928</v>
      </c>
      <c r="G55" s="40">
        <v>0</v>
      </c>
      <c r="H55" s="40">
        <v>0</v>
      </c>
      <c r="I55" s="40">
        <f>(F37-F46)*0.3</f>
        <v>5.3369999999999786E-2</v>
      </c>
      <c r="J55" s="40">
        <f>F37-F46-I55</f>
        <v>0.1245299999999995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4.5425000000000004</v>
      </c>
      <c r="G59" s="40"/>
      <c r="H59" s="40"/>
      <c r="I59" s="40">
        <f>I48</f>
        <v>1.04432075</v>
      </c>
      <c r="J59" s="40">
        <f>J48</f>
        <v>3.4981792500000006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1923.1179999999999</v>
      </c>
      <c r="G68" s="41">
        <f>G69</f>
        <v>0</v>
      </c>
      <c r="H68" s="41">
        <f>H69</f>
        <v>0</v>
      </c>
      <c r="I68" s="41">
        <f>I69</f>
        <v>252.66499999999999</v>
      </c>
      <c r="J68" s="41">
        <f>J69</f>
        <v>1670.453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1923.1179999999999</v>
      </c>
      <c r="G69" s="41">
        <f>G26</f>
        <v>0</v>
      </c>
      <c r="H69" s="41">
        <f>H26</f>
        <v>0</v>
      </c>
      <c r="I69" s="41">
        <f>I26</f>
        <v>252.66499999999999</v>
      </c>
      <c r="J69" s="41">
        <f>J26</f>
        <v>1670.453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2875.0614100000003</v>
      </c>
      <c r="G79" s="42">
        <f>G80</f>
        <v>0</v>
      </c>
      <c r="H79" s="42">
        <f>H80</f>
        <v>0</v>
      </c>
      <c r="I79" s="42">
        <f>I80</f>
        <v>377.73417499999999</v>
      </c>
      <c r="J79" s="42">
        <f>J80</f>
        <v>2497.3272350000002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2875.0614100000003</v>
      </c>
      <c r="G80" s="42">
        <v>0</v>
      </c>
      <c r="H80" s="42">
        <v>0</v>
      </c>
      <c r="I80" s="41">
        <f>I69*1.495</f>
        <v>377.73417499999999</v>
      </c>
      <c r="J80" s="41">
        <f>J69*1.495</f>
        <v>2497.3272350000002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F8" sqref="F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72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3086.1530000000002</v>
      </c>
      <c r="G15" s="40">
        <f>G18</f>
        <v>1830.348</v>
      </c>
      <c r="H15" s="40">
        <f>H18</f>
        <v>0</v>
      </c>
      <c r="I15" s="40">
        <f>I18</f>
        <v>1255.8050000000001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3086.1530000000002</v>
      </c>
      <c r="G18" s="40">
        <v>1830.348</v>
      </c>
      <c r="H18" s="40">
        <v>0</v>
      </c>
      <c r="I18" s="40">
        <v>1255.8050000000001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4621.2092000000002</v>
      </c>
      <c r="G19" s="40"/>
      <c r="H19" s="40"/>
      <c r="I19" s="40">
        <f>I20</f>
        <v>1830.348</v>
      </c>
      <c r="J19" s="40">
        <f>J22</f>
        <v>2790.8612000000003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1830.348</v>
      </c>
      <c r="G20" s="40"/>
      <c r="H20" s="40"/>
      <c r="I20" s="40">
        <f>G18</f>
        <v>1830.348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2790.8612000000003</v>
      </c>
      <c r="G22" s="40"/>
      <c r="H22" s="40"/>
      <c r="I22" s="40"/>
      <c r="J22" s="40">
        <f>J26+J33</f>
        <v>2790.8612000000003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3026.4670000000001</v>
      </c>
      <c r="G24" s="40">
        <v>0</v>
      </c>
      <c r="H24" s="40">
        <v>0</v>
      </c>
      <c r="I24" s="40">
        <f>I26</f>
        <v>277.38600000000002</v>
      </c>
      <c r="J24" s="40">
        <f>J26</f>
        <v>2749.0810000000001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3026.4670000000001</v>
      </c>
      <c r="G26" s="40">
        <v>0</v>
      </c>
      <c r="H26" s="40">
        <v>0</v>
      </c>
      <c r="I26" s="40">
        <v>277.38600000000002</v>
      </c>
      <c r="J26" s="40">
        <v>2749.0810000000001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4621.2092000000002</v>
      </c>
      <c r="G29" s="40">
        <f>G18</f>
        <v>1830.348</v>
      </c>
      <c r="H29" s="40"/>
      <c r="I29" s="40">
        <f>J19</f>
        <v>2790.8612000000003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59.686000000000149</v>
      </c>
      <c r="G33" s="40">
        <v>0</v>
      </c>
      <c r="H33" s="40">
        <v>0</v>
      </c>
      <c r="I33" s="40">
        <f>(F15-F24)*0.3</f>
        <v>17.905800000000045</v>
      </c>
      <c r="J33" s="40">
        <f>F15-F24-I33</f>
        <v>41.780200000000107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4.7767999999999997</v>
      </c>
      <c r="G37" s="40">
        <f>G40</f>
        <v>3.7688951999999998</v>
      </c>
      <c r="H37" s="40">
        <v>0</v>
      </c>
      <c r="I37" s="40">
        <f>I40</f>
        <v>1.0079047999999999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4.7767999999999997</v>
      </c>
      <c r="G40" s="40">
        <f>4.7768-I40</f>
        <v>3.7688951999999998</v>
      </c>
      <c r="H40" s="40">
        <v>0</v>
      </c>
      <c r="I40" s="40">
        <f>4.7768*0.211</f>
        <v>1.0079047999999999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7.4330090089999992</v>
      </c>
      <c r="G41" s="40"/>
      <c r="H41" s="40"/>
      <c r="I41" s="40">
        <f>I42</f>
        <v>3.7688951999999998</v>
      </c>
      <c r="J41" s="40">
        <f>J44</f>
        <v>3.6641138089999998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3.7688951999999998</v>
      </c>
      <c r="G42" s="40"/>
      <c r="H42" s="40"/>
      <c r="I42" s="40">
        <f>G40</f>
        <v>3.7688951999999998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3.6641138089999998</v>
      </c>
      <c r="G44" s="40"/>
      <c r="H44" s="40"/>
      <c r="I44" s="40"/>
      <c r="J44" s="40">
        <f>J48+J55</f>
        <v>3.6641138089999998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4.5509000000000004</v>
      </c>
      <c r="G46" s="40">
        <v>0</v>
      </c>
      <c r="H46" s="40">
        <v>0</v>
      </c>
      <c r="I46" s="40">
        <f>I48</f>
        <v>1.044916191</v>
      </c>
      <c r="J46" s="40">
        <f>J48</f>
        <v>3.5059838090000004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4.5509000000000004</v>
      </c>
      <c r="G48" s="40">
        <v>0</v>
      </c>
      <c r="H48" s="40">
        <v>0</v>
      </c>
      <c r="I48" s="40">
        <f>4.54509*0.2299</f>
        <v>1.044916191</v>
      </c>
      <c r="J48" s="40">
        <f>4.5509-I48</f>
        <v>3.5059838090000004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7.4330090089999992</v>
      </c>
      <c r="G51" s="40">
        <f>I42</f>
        <v>3.7688951999999998</v>
      </c>
      <c r="H51" s="40"/>
      <c r="I51" s="40">
        <f>J44</f>
        <v>3.6641138089999998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0.22589999999999932</v>
      </c>
      <c r="G55" s="40">
        <v>0</v>
      </c>
      <c r="H55" s="40">
        <v>0</v>
      </c>
      <c r="I55" s="40">
        <f>(F37-F46)*0.3</f>
        <v>6.7769999999999789E-2</v>
      </c>
      <c r="J55" s="40">
        <f>F37-F46-I55</f>
        <v>0.15812999999999955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4.5509000000000004</v>
      </c>
      <c r="G59" s="40"/>
      <c r="H59" s="40"/>
      <c r="I59" s="40">
        <f>I48</f>
        <v>1.044916191</v>
      </c>
      <c r="J59" s="40">
        <f>J48</f>
        <v>3.5059838090000004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3026.4670000000001</v>
      </c>
      <c r="G68" s="41">
        <f>G69</f>
        <v>0</v>
      </c>
      <c r="H68" s="41">
        <f>H69</f>
        <v>0</v>
      </c>
      <c r="I68" s="41">
        <f>I69</f>
        <v>277.38600000000002</v>
      </c>
      <c r="J68" s="41">
        <f>J69</f>
        <v>2749.0810000000001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3026.4670000000001</v>
      </c>
      <c r="G69" s="41">
        <f>G26</f>
        <v>0</v>
      </c>
      <c r="H69" s="41">
        <f>H26</f>
        <v>0</v>
      </c>
      <c r="I69" s="41">
        <f>I26</f>
        <v>277.38600000000002</v>
      </c>
      <c r="J69" s="41">
        <f>J26</f>
        <v>2749.0810000000001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4524.5681650000006</v>
      </c>
      <c r="G79" s="42">
        <f>G80</f>
        <v>0</v>
      </c>
      <c r="H79" s="42">
        <f>H80</f>
        <v>0</v>
      </c>
      <c r="I79" s="42">
        <f>I80</f>
        <v>414.69207000000006</v>
      </c>
      <c r="J79" s="42">
        <f>J80</f>
        <v>4109.8760950000005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4524.5681650000006</v>
      </c>
      <c r="G80" s="42">
        <v>0</v>
      </c>
      <c r="H80" s="42">
        <v>0</v>
      </c>
      <c r="I80" s="41">
        <f>I69*1.495</f>
        <v>414.69207000000006</v>
      </c>
      <c r="J80" s="41">
        <f>J69*1.495</f>
        <v>4109.8760950000005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F8" sqref="F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73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2635.3910000000001</v>
      </c>
      <c r="G15" s="40">
        <f>G18</f>
        <v>2065.1060000000002</v>
      </c>
      <c r="H15" s="40">
        <f>H18</f>
        <v>0</v>
      </c>
      <c r="I15" s="40">
        <f>I18</f>
        <v>570.28499999999997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2635.3910000000001</v>
      </c>
      <c r="G18" s="40">
        <v>2065.1060000000002</v>
      </c>
      <c r="H18" s="40">
        <v>0</v>
      </c>
      <c r="I18" s="40">
        <v>570.28499999999997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4298.7543999999998</v>
      </c>
      <c r="G19" s="40"/>
      <c r="H19" s="40"/>
      <c r="I19" s="40">
        <f>I20</f>
        <v>2065.1060000000002</v>
      </c>
      <c r="J19" s="40">
        <f>J22</f>
        <v>2233.6484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2065.1060000000002</v>
      </c>
      <c r="G20" s="40"/>
      <c r="H20" s="40"/>
      <c r="I20" s="40">
        <f>G18</f>
        <v>2065.1060000000002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2233.6484</v>
      </c>
      <c r="G22" s="40"/>
      <c r="H22" s="40"/>
      <c r="I22" s="40"/>
      <c r="J22" s="40">
        <f>J26+J33</f>
        <v>2233.6484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2636.3090000000002</v>
      </c>
      <c r="G24" s="40">
        <v>0</v>
      </c>
      <c r="H24" s="40">
        <v>0</v>
      </c>
      <c r="I24" s="40">
        <f>I26</f>
        <v>402.01799999999997</v>
      </c>
      <c r="J24" s="40">
        <f>J26</f>
        <v>2234.2910000000002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2636.3090000000002</v>
      </c>
      <c r="G26" s="40">
        <v>0</v>
      </c>
      <c r="H26" s="40">
        <v>0</v>
      </c>
      <c r="I26" s="40">
        <v>402.01799999999997</v>
      </c>
      <c r="J26" s="40">
        <v>2234.2910000000002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4298.7543999999998</v>
      </c>
      <c r="G29" s="40">
        <f>G18</f>
        <v>2065.1060000000002</v>
      </c>
      <c r="H29" s="40"/>
      <c r="I29" s="40">
        <f>J19</f>
        <v>2233.6484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-0.91800000000012005</v>
      </c>
      <c r="G33" s="40">
        <v>0</v>
      </c>
      <c r="H33" s="40">
        <v>0</v>
      </c>
      <c r="I33" s="40">
        <f>(F15-F24)*0.3</f>
        <v>-0.275400000000036</v>
      </c>
      <c r="J33" s="40">
        <f>F15-F24-I33</f>
        <v>-0.64260000000008399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4.9524999999999997</v>
      </c>
      <c r="G37" s="40">
        <f>G40</f>
        <v>3.9075224999999998</v>
      </c>
      <c r="H37" s="40">
        <v>0</v>
      </c>
      <c r="I37" s="40">
        <f>I40</f>
        <v>1.0449774999999999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4.9524999999999997</v>
      </c>
      <c r="G40" s="40">
        <f>4.9525-I40</f>
        <v>3.9075224999999998</v>
      </c>
      <c r="H40" s="40">
        <v>0</v>
      </c>
      <c r="I40" s="40">
        <f>4.9525*0.211</f>
        <v>1.0449774999999999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7.7008964399999993</v>
      </c>
      <c r="G41" s="40"/>
      <c r="H41" s="40"/>
      <c r="I41" s="40">
        <f>I42</f>
        <v>3.9075224999999998</v>
      </c>
      <c r="J41" s="40">
        <f>J44</f>
        <v>3.7933739399999995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3.9075224999999998</v>
      </c>
      <c r="G42" s="40"/>
      <c r="H42" s="40"/>
      <c r="I42" s="40">
        <f>G40</f>
        <v>3.9075224999999998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3.7933739399999995</v>
      </c>
      <c r="G44" s="40"/>
      <c r="H44" s="40"/>
      <c r="I44" s="40"/>
      <c r="J44" s="40">
        <f>J48+J55</f>
        <v>3.7933739399999995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4.6593999999999998</v>
      </c>
      <c r="G46" s="40">
        <v>0</v>
      </c>
      <c r="H46" s="40">
        <v>0</v>
      </c>
      <c r="I46" s="40">
        <f>I48</f>
        <v>1.0711960599999999</v>
      </c>
      <c r="J46" s="40">
        <f>J48</f>
        <v>3.5882039399999996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4.6593999999999998</v>
      </c>
      <c r="G48" s="40">
        <v>0</v>
      </c>
      <c r="H48" s="40">
        <v>0</v>
      </c>
      <c r="I48" s="40">
        <f>4.6594*0.2299</f>
        <v>1.0711960599999999</v>
      </c>
      <c r="J48" s="40">
        <f>4.6594-I48</f>
        <v>3.5882039399999996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7.7008964399999993</v>
      </c>
      <c r="G51" s="40">
        <f>I42</f>
        <v>3.9075224999999998</v>
      </c>
      <c r="H51" s="40"/>
      <c r="I51" s="40">
        <f>J44</f>
        <v>3.7933739399999995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0.29309999999999992</v>
      </c>
      <c r="G55" s="40">
        <v>0</v>
      </c>
      <c r="H55" s="40">
        <v>0</v>
      </c>
      <c r="I55" s="40">
        <f>(F37-F46)*0.3</f>
        <v>8.7929999999999967E-2</v>
      </c>
      <c r="J55" s="40">
        <f>F37-F46-I55</f>
        <v>0.20516999999999996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4.6593999999999998</v>
      </c>
      <c r="G59" s="40"/>
      <c r="H59" s="40"/>
      <c r="I59" s="40">
        <f>I48</f>
        <v>1.0711960599999999</v>
      </c>
      <c r="J59" s="40">
        <f>J48</f>
        <v>3.5882039399999996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2636.3090000000002</v>
      </c>
      <c r="G68" s="41">
        <f>G69</f>
        <v>0</v>
      </c>
      <c r="H68" s="41">
        <f>H69</f>
        <v>0</v>
      </c>
      <c r="I68" s="41">
        <f>I69</f>
        <v>402.01799999999997</v>
      </c>
      <c r="J68" s="41">
        <f>J69</f>
        <v>2234.2910000000002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2636.3090000000002</v>
      </c>
      <c r="G69" s="41">
        <f>G26</f>
        <v>0</v>
      </c>
      <c r="H69" s="41">
        <f>H26</f>
        <v>0</v>
      </c>
      <c r="I69" s="41">
        <f>I26</f>
        <v>402.01799999999997</v>
      </c>
      <c r="J69" s="41">
        <f>J26</f>
        <v>2234.2910000000002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3941.2819550000004</v>
      </c>
      <c r="G79" s="42">
        <f>G80</f>
        <v>0</v>
      </c>
      <c r="H79" s="42">
        <f>H80</f>
        <v>0</v>
      </c>
      <c r="I79" s="42">
        <f>I80</f>
        <v>601.01691000000005</v>
      </c>
      <c r="J79" s="42">
        <f>J80</f>
        <v>3340.2650450000006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3941.2819550000004</v>
      </c>
      <c r="G80" s="42">
        <v>0</v>
      </c>
      <c r="H80" s="42">
        <v>0</v>
      </c>
      <c r="I80" s="41">
        <f>I69*1.495</f>
        <v>601.01691000000005</v>
      </c>
      <c r="J80" s="41">
        <f>J69*1.495</f>
        <v>3340.2650450000006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2"/>
  <sheetViews>
    <sheetView view="pageBreakPreview" topLeftCell="C7" zoomScaleNormal="100" zoomScaleSheetLayoutView="100" workbookViewId="0">
      <selection activeCell="J26" sqref="J2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t="15" hidden="1" x14ac:dyDescent="0.25"/>
    <row r="2" spans="1:17" ht="15" hidden="1" x14ac:dyDescent="0.25"/>
    <row r="3" spans="1:17" ht="15" hidden="1" x14ac:dyDescent="0.25"/>
    <row r="4" spans="1:17" ht="15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5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5" hidden="1" x14ac:dyDescent="0.25">
      <c r="A6" s="4"/>
    </row>
    <row r="7" spans="1:17" ht="14.25" x14ac:dyDescent="0.25">
      <c r="A7" s="4"/>
      <c r="D7" s="5"/>
      <c r="E7" s="5"/>
      <c r="F7" s="32" t="s">
        <v>58</v>
      </c>
      <c r="G7" s="5"/>
      <c r="H7" s="5"/>
      <c r="I7" s="5"/>
      <c r="J7" s="5"/>
      <c r="K7" s="6"/>
      <c r="Q7" s="7"/>
    </row>
    <row r="8" spans="1:17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5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x14ac:dyDescent="0.25">
      <c r="C12" s="5"/>
      <c r="D12" s="46"/>
      <c r="E12" s="46"/>
      <c r="F12" s="46"/>
      <c r="G12" s="31" t="s">
        <v>18</v>
      </c>
      <c r="H12" s="31" t="s">
        <v>19</v>
      </c>
      <c r="I12" s="31" t="s">
        <v>20</v>
      </c>
      <c r="J12" s="31" t="s">
        <v>21</v>
      </c>
      <c r="K12" s="14"/>
    </row>
    <row r="13" spans="1:17" ht="15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x14ac:dyDescent="0.25">
      <c r="C14" s="18"/>
      <c r="D14" s="47" t="s">
        <v>22</v>
      </c>
      <c r="E14" s="47"/>
      <c r="F14" s="47"/>
      <c r="G14" s="47"/>
      <c r="H14" s="47"/>
      <c r="I14" s="47"/>
      <c r="J14" s="47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8090.7929999999997</v>
      </c>
      <c r="G15" s="23">
        <f>G18</f>
        <v>5930.8819999999996</v>
      </c>
      <c r="H15" s="23">
        <v>0</v>
      </c>
      <c r="I15" s="23">
        <f>I18</f>
        <v>2159.9110000000001</v>
      </c>
      <c r="J15" s="23">
        <f>J18</f>
        <v>0</v>
      </c>
      <c r="K15" s="19"/>
    </row>
    <row r="16" spans="1:17" s="17" customForma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x14ac:dyDescent="0.25">
      <c r="C18" s="18"/>
      <c r="D18" s="20" t="s">
        <v>26</v>
      </c>
      <c r="E18" s="21">
        <v>40</v>
      </c>
      <c r="F18" s="22">
        <f t="shared" si="0"/>
        <v>8090.7929999999997</v>
      </c>
      <c r="G18" s="23">
        <f>октябрь!G18+ноябрь!G18+декабрь!G18</f>
        <v>5930.8819999999996</v>
      </c>
      <c r="H18" s="23">
        <f>октябрь!H18+ноябрь!H18+декабрь!H18</f>
        <v>0</v>
      </c>
      <c r="I18" s="23">
        <f>октябрь!I18+ноябрь!I18+декабрь!I18</f>
        <v>2159.9110000000001</v>
      </c>
      <c r="J18" s="23">
        <f>октябрь!J18+ноябрь!J18+декабрь!J18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12938.1363</v>
      </c>
      <c r="G19" s="23"/>
      <c r="H19" s="23"/>
      <c r="I19" s="23">
        <f>I20</f>
        <v>5930.8819999999996</v>
      </c>
      <c r="J19" s="23">
        <f>J22</f>
        <v>7007.2543000000005</v>
      </c>
      <c r="K19" s="19"/>
    </row>
    <row r="20" spans="3:11" s="17" customFormat="1" x14ac:dyDescent="0.25">
      <c r="C20" s="18"/>
      <c r="D20" s="20" t="s">
        <v>18</v>
      </c>
      <c r="E20" s="21">
        <v>60</v>
      </c>
      <c r="F20" s="22">
        <f t="shared" si="0"/>
        <v>5930.8819999999996</v>
      </c>
      <c r="G20" s="23"/>
      <c r="H20" s="23"/>
      <c r="I20" s="23">
        <f>G18</f>
        <v>5930.8819999999996</v>
      </c>
      <c r="J20" s="23"/>
      <c r="K20" s="19"/>
    </row>
    <row r="21" spans="3:11" s="17" customForma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x14ac:dyDescent="0.25">
      <c r="C22" s="18"/>
      <c r="D22" s="20" t="s">
        <v>20</v>
      </c>
      <c r="E22" s="21">
        <v>80</v>
      </c>
      <c r="F22" s="22">
        <f t="shared" si="0"/>
        <v>7007.2543000000005</v>
      </c>
      <c r="G22" s="23"/>
      <c r="H22" s="23"/>
      <c r="I22" s="23"/>
      <c r="J22" s="23">
        <f>J26+J33</f>
        <v>7007.2543000000005</v>
      </c>
      <c r="K22" s="19"/>
    </row>
    <row r="23" spans="3:11" s="17" customForma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x14ac:dyDescent="0.25">
      <c r="C24" s="18"/>
      <c r="D24" s="20" t="s">
        <v>29</v>
      </c>
      <c r="E24" s="21">
        <v>100</v>
      </c>
      <c r="F24" s="22">
        <f t="shared" si="0"/>
        <v>7585.8940000000002</v>
      </c>
      <c r="G24" s="23">
        <f t="shared" ref="G24:H24" si="1">G26</f>
        <v>0</v>
      </c>
      <c r="H24" s="23">
        <f t="shared" si="1"/>
        <v>0</v>
      </c>
      <c r="I24" s="23">
        <f>I26</f>
        <v>932.06899999999996</v>
      </c>
      <c r="J24" s="23">
        <f>J26</f>
        <v>6653.8249999999998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x14ac:dyDescent="0.25">
      <c r="C26" s="18"/>
      <c r="D26" s="20" t="s">
        <v>31</v>
      </c>
      <c r="E26" s="21">
        <v>120</v>
      </c>
      <c r="F26" s="22">
        <f t="shared" si="0"/>
        <v>7585.8940000000002</v>
      </c>
      <c r="G26" s="23">
        <f>октябрь!G26+ноябрь!G26+декабрь!G26</f>
        <v>0</v>
      </c>
      <c r="H26" s="23">
        <f>октябрь!H26+ноябрь!H26+декабрь!H26</f>
        <v>0</v>
      </c>
      <c r="I26" s="23">
        <f>октябрь!I26+ноябрь!I26+декабрь!I26</f>
        <v>932.06899999999996</v>
      </c>
      <c r="J26" s="23">
        <f>октябрь!J26+ноябрь!J26+декабрь!J26</f>
        <v>6653.8249999999998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x14ac:dyDescent="0.25">
      <c r="C29" s="18"/>
      <c r="D29" s="20" t="s">
        <v>34</v>
      </c>
      <c r="E29" s="21">
        <v>150</v>
      </c>
      <c r="F29" s="22">
        <f t="shared" si="0"/>
        <v>12938.1363</v>
      </c>
      <c r="G29" s="23">
        <f>G18</f>
        <v>5930.8819999999996</v>
      </c>
      <c r="H29" s="23"/>
      <c r="I29" s="23">
        <f>J19</f>
        <v>7007.2543000000005</v>
      </c>
      <c r="J29" s="23"/>
      <c r="K29" s="19"/>
    </row>
    <row r="30" spans="3:11" s="17" customForma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x14ac:dyDescent="0.25">
      <c r="C33" s="18"/>
      <c r="D33" s="20" t="s">
        <v>38</v>
      </c>
      <c r="E33" s="21">
        <v>190</v>
      </c>
      <c r="F33" s="22">
        <f t="shared" si="0"/>
        <v>504.89900000000034</v>
      </c>
      <c r="G33" s="23">
        <f>октябрь!G33+ноябрь!G33+декабрь!G33</f>
        <v>0</v>
      </c>
      <c r="H33" s="23">
        <f>октябрь!H33+ноябрь!H33+декабрь!H33</f>
        <v>0</v>
      </c>
      <c r="I33" s="23">
        <f>октябрь!I33+ноябрь!I33+декабрь!I33</f>
        <v>151.4697000000001</v>
      </c>
      <c r="J33" s="23">
        <f>октябрь!J33+ноябрь!J33+декабрь!J33</f>
        <v>353.42930000000024</v>
      </c>
      <c r="K33" s="19"/>
    </row>
    <row r="34" spans="3:11" s="17" customForma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x14ac:dyDescent="0.25">
      <c r="C36" s="18"/>
      <c r="D36" s="47" t="s">
        <v>41</v>
      </c>
      <c r="E36" s="47"/>
      <c r="F36" s="47"/>
      <c r="G36" s="47"/>
      <c r="H36" s="47"/>
      <c r="I36" s="47"/>
      <c r="J36" s="47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4.8165666666666667</v>
      </c>
      <c r="G37" s="23">
        <f>G40</f>
        <v>3.8002710999999998</v>
      </c>
      <c r="H37" s="23">
        <f t="shared" ref="H37:J37" si="2">H40</f>
        <v>0</v>
      </c>
      <c r="I37" s="23">
        <f t="shared" si="2"/>
        <v>1.0162955666666666</v>
      </c>
      <c r="J37" s="23">
        <f t="shared" si="2"/>
        <v>0</v>
      </c>
      <c r="K37" s="19"/>
    </row>
    <row r="38" spans="3:11" s="17" customForma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x14ac:dyDescent="0.25">
      <c r="C40" s="18"/>
      <c r="D40" s="20" t="s">
        <v>26</v>
      </c>
      <c r="E40" s="21">
        <v>330</v>
      </c>
      <c r="F40" s="22">
        <f t="shared" si="0"/>
        <v>4.8165666666666667</v>
      </c>
      <c r="G40" s="23">
        <f>(октябрь!G40+ноябрь!G40+декабрь!G40)/3</f>
        <v>3.8002710999999998</v>
      </c>
      <c r="H40" s="23">
        <f>(октябрь!H40+ноябрь!H40+декабрь!H40)/3</f>
        <v>0</v>
      </c>
      <c r="I40" s="23">
        <f>(октябрь!I40+ноябрь!I40+декабрь!I40)/3</f>
        <v>1.0162955666666666</v>
      </c>
      <c r="J40" s="23">
        <f>(октябрь!J40+ноябрь!J40+декабрь!J40)/3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7.4936700996666659</v>
      </c>
      <c r="G41" s="23"/>
      <c r="H41" s="23"/>
      <c r="I41" s="23">
        <f>I42</f>
        <v>3.8002710999999998</v>
      </c>
      <c r="J41" s="23">
        <f>J44</f>
        <v>3.6933989996666665</v>
      </c>
      <c r="K41" s="19"/>
    </row>
    <row r="42" spans="3:11" s="17" customFormat="1" x14ac:dyDescent="0.25">
      <c r="C42" s="18"/>
      <c r="D42" s="20" t="s">
        <v>18</v>
      </c>
      <c r="E42" s="21">
        <v>350</v>
      </c>
      <c r="F42" s="22">
        <f t="shared" si="0"/>
        <v>3.8002710999999998</v>
      </c>
      <c r="G42" s="23"/>
      <c r="H42" s="23"/>
      <c r="I42" s="23">
        <f>G40</f>
        <v>3.8002710999999998</v>
      </c>
      <c r="J42" s="23"/>
      <c r="K42" s="19"/>
    </row>
    <row r="43" spans="3:11" s="17" customForma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x14ac:dyDescent="0.25">
      <c r="C44" s="18"/>
      <c r="D44" s="20" t="s">
        <v>20</v>
      </c>
      <c r="E44" s="21">
        <v>370</v>
      </c>
      <c r="F44" s="22">
        <f t="shared" si="0"/>
        <v>3.6933989996666665</v>
      </c>
      <c r="G44" s="23"/>
      <c r="H44" s="23"/>
      <c r="I44" s="23"/>
      <c r="J44" s="23">
        <f>J48+J55</f>
        <v>3.6933989996666665</v>
      </c>
      <c r="K44" s="19"/>
    </row>
    <row r="45" spans="3:11" s="17" customForma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x14ac:dyDescent="0.25">
      <c r="C46" s="18"/>
      <c r="D46" s="20" t="s">
        <v>29</v>
      </c>
      <c r="E46" s="21">
        <v>390</v>
      </c>
      <c r="F46" s="22">
        <f t="shared" si="0"/>
        <v>4.5842666666666672</v>
      </c>
      <c r="G46" s="23">
        <f t="shared" ref="G46:H46" si="3">G48</f>
        <v>0</v>
      </c>
      <c r="H46" s="23">
        <f t="shared" si="3"/>
        <v>0</v>
      </c>
      <c r="I46" s="23">
        <f>I48</f>
        <v>1.0534776670000001</v>
      </c>
      <c r="J46" s="23">
        <f>J48</f>
        <v>3.530788999666667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x14ac:dyDescent="0.25">
      <c r="C48" s="18"/>
      <c r="D48" s="20" t="s">
        <v>31</v>
      </c>
      <c r="E48" s="21">
        <v>410</v>
      </c>
      <c r="F48" s="22">
        <f t="shared" si="0"/>
        <v>4.5842666666666672</v>
      </c>
      <c r="G48" s="23">
        <f>(октябрь!G48+ноябрь!G48+декабрь!G48)/3</f>
        <v>0</v>
      </c>
      <c r="H48" s="23">
        <f>(октябрь!H48+ноябрь!H48+декабрь!H48)/3</f>
        <v>0</v>
      </c>
      <c r="I48" s="23">
        <f>(октябрь!I48+ноябрь!I48+декабрь!I48)/3</f>
        <v>1.0534776670000001</v>
      </c>
      <c r="J48" s="23">
        <f>(октябрь!J48+ноябрь!J48+декабрь!J48)/3</f>
        <v>3.530788999666667</v>
      </c>
      <c r="K48" s="19"/>
    </row>
    <row r="49" spans="3:11" s="17" customForma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x14ac:dyDescent="0.25">
      <c r="C51" s="18"/>
      <c r="D51" s="20" t="s">
        <v>34</v>
      </c>
      <c r="E51" s="21">
        <v>440</v>
      </c>
      <c r="F51" s="22">
        <f t="shared" si="0"/>
        <v>7.4936700996666659</v>
      </c>
      <c r="G51" s="23">
        <f>I42</f>
        <v>3.8002710999999998</v>
      </c>
      <c r="H51" s="23"/>
      <c r="I51" s="23">
        <f>J44</f>
        <v>3.6933989996666665</v>
      </c>
      <c r="J51" s="23"/>
      <c r="K51" s="19"/>
    </row>
    <row r="52" spans="3:11" s="17" customForma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x14ac:dyDescent="0.25">
      <c r="C55" s="18"/>
      <c r="D55" s="20" t="s">
        <v>38</v>
      </c>
      <c r="E55" s="21">
        <v>480</v>
      </c>
      <c r="F55" s="22">
        <f t="shared" si="0"/>
        <v>0.23229999999999951</v>
      </c>
      <c r="G55" s="23">
        <f>(октябрь!G55+ноябрь!G55+декабрь!G55)/3</f>
        <v>0</v>
      </c>
      <c r="H55" s="23">
        <f>(октябрь!H55+ноябрь!H55+декабрь!H55)/3</f>
        <v>0</v>
      </c>
      <c r="I55" s="23">
        <f>(октябрь!I55+ноябрь!I55+декабрь!I55)/3</f>
        <v>6.9689999999999849E-2</v>
      </c>
      <c r="J55" s="23">
        <f>(октябрь!J55+ноябрь!J55+декабрь!J55)/3</f>
        <v>0.16260999999999967</v>
      </c>
      <c r="K55" s="19"/>
    </row>
    <row r="56" spans="3:11" s="17" customForma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x14ac:dyDescent="0.25">
      <c r="C58" s="18"/>
      <c r="D58" s="47" t="s">
        <v>41</v>
      </c>
      <c r="E58" s="47"/>
      <c r="F58" s="47"/>
      <c r="G58" s="47"/>
      <c r="H58" s="47"/>
      <c r="I58" s="47"/>
      <c r="J58" s="47"/>
      <c r="K58" s="19"/>
    </row>
    <row r="59" spans="3:11" s="17" customForma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x14ac:dyDescent="0.25">
      <c r="C62" s="18"/>
      <c r="D62" s="47" t="s">
        <v>46</v>
      </c>
      <c r="E62" s="47"/>
      <c r="F62" s="47"/>
      <c r="G62" s="47"/>
      <c r="H62" s="47"/>
      <c r="I62" s="47"/>
      <c r="J62" s="47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7585.8940000000002</v>
      </c>
      <c r="G68" s="23">
        <f>октябрь!G68+ноябрь!G68+декабрь!G68</f>
        <v>0</v>
      </c>
      <c r="H68" s="23">
        <f>октябрь!H68+ноябрь!H68+декабрь!H68</f>
        <v>0</v>
      </c>
      <c r="I68" s="23">
        <f>октябрь!I68+ноябрь!I68+декабрь!I68</f>
        <v>932.06899999999996</v>
      </c>
      <c r="J68" s="23">
        <f>октябрь!J68+ноябрь!J68+декабрь!J68</f>
        <v>6653.8249999999998</v>
      </c>
      <c r="K68" s="14"/>
    </row>
    <row r="69" spans="3:12" x14ac:dyDescent="0.25">
      <c r="C69" s="5"/>
      <c r="D69" s="20" t="s">
        <v>48</v>
      </c>
      <c r="E69" s="21">
        <v>760</v>
      </c>
      <c r="F69" s="22">
        <f t="shared" si="0"/>
        <v>7585.8940000000002</v>
      </c>
      <c r="G69" s="23">
        <f>октябрь!G69+ноябрь!G69+декабрь!G69</f>
        <v>0</v>
      </c>
      <c r="H69" s="23">
        <f>октябрь!H69+ноябрь!H69+декабрь!H69</f>
        <v>0</v>
      </c>
      <c r="I69" s="23">
        <f>октябрь!I69+ноябрь!I69+декабрь!I69</f>
        <v>932.06899999999996</v>
      </c>
      <c r="J69" s="23">
        <f>октябрь!J69+ноябрь!J69+декабрь!J69</f>
        <v>6653.8249999999998</v>
      </c>
      <c r="K69" s="14"/>
    </row>
    <row r="70" spans="3:12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x14ac:dyDescent="0.25">
      <c r="C73" s="5"/>
      <c r="D73" s="47" t="s">
        <v>53</v>
      </c>
      <c r="E73" s="47"/>
      <c r="F73" s="47"/>
      <c r="G73" s="47"/>
      <c r="H73" s="47"/>
      <c r="I73" s="47"/>
      <c r="J73" s="47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11340.911530000001</v>
      </c>
      <c r="G79" s="23">
        <f>октябрь!G79+ноябрь!G79+декабрь!G79</f>
        <v>0</v>
      </c>
      <c r="H79" s="23">
        <f>октябрь!H79+ноябрь!H79+декабрь!H79</f>
        <v>0</v>
      </c>
      <c r="I79" s="23">
        <f>октябрь!I79+ноябрь!I79+декабрь!I79</f>
        <v>1393.4431550000002</v>
      </c>
      <c r="J79" s="23">
        <f>октябрь!J79+ноябрь!J79+декабрь!J79</f>
        <v>9947.4683750000004</v>
      </c>
      <c r="K79" s="26"/>
      <c r="L79" s="27"/>
    </row>
    <row r="80" spans="3:12" x14ac:dyDescent="0.25">
      <c r="C80" s="5"/>
      <c r="D80" s="20" t="s">
        <v>48</v>
      </c>
      <c r="E80" s="21">
        <v>860</v>
      </c>
      <c r="F80" s="22">
        <f t="shared" ref="F80:F86" si="4">SUM(G80:J80)</f>
        <v>11340.911530000001</v>
      </c>
      <c r="G80" s="23">
        <f>октябрь!G80+ноябрь!G80+декабрь!G80</f>
        <v>0</v>
      </c>
      <c r="H80" s="23">
        <f>октябрь!H80+ноябрь!H80+декабрь!H80</f>
        <v>0</v>
      </c>
      <c r="I80" s="23">
        <f>октябрь!I80+ноябрь!I80+декабрь!I80</f>
        <v>1393.4431550000002</v>
      </c>
      <c r="J80" s="23">
        <f>октябрь!J80+ноябрь!J80+декабрь!J80</f>
        <v>9947.4683750000004</v>
      </c>
      <c r="K80" s="26"/>
      <c r="L80" s="27"/>
    </row>
    <row r="81" spans="3:19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15:J3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63:J72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132"/>
  <sheetViews>
    <sheetView tabSelected="1" view="pageBreakPreview" topLeftCell="C31" zoomScaleNormal="100" zoomScaleSheetLayoutView="100" workbookViewId="0">
      <selection activeCell="P56" sqref="P5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t="15" hidden="1" x14ac:dyDescent="0.25"/>
    <row r="2" spans="1:17" ht="15" hidden="1" x14ac:dyDescent="0.25"/>
    <row r="3" spans="1:17" ht="15" hidden="1" x14ac:dyDescent="0.25"/>
    <row r="4" spans="1:17" ht="15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5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5" hidden="1" x14ac:dyDescent="0.25">
      <c r="A6" s="4"/>
    </row>
    <row r="7" spans="1:17" ht="14.25" x14ac:dyDescent="0.25">
      <c r="A7" s="4"/>
      <c r="D7" s="5"/>
      <c r="E7" s="5"/>
      <c r="F7" s="32" t="s">
        <v>74</v>
      </c>
      <c r="G7" s="5"/>
      <c r="H7" s="5"/>
      <c r="I7" s="5"/>
      <c r="J7" s="5"/>
      <c r="K7" s="6"/>
      <c r="Q7" s="7"/>
    </row>
    <row r="8" spans="1:17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5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x14ac:dyDescent="0.25">
      <c r="C12" s="5"/>
      <c r="D12" s="46"/>
      <c r="E12" s="46"/>
      <c r="F12" s="46"/>
      <c r="G12" s="31" t="s">
        <v>18</v>
      </c>
      <c r="H12" s="31" t="s">
        <v>19</v>
      </c>
      <c r="I12" s="31" t="s">
        <v>20</v>
      </c>
      <c r="J12" s="31" t="s">
        <v>21</v>
      </c>
      <c r="K12" s="14"/>
    </row>
    <row r="13" spans="1:17" ht="15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x14ac:dyDescent="0.25">
      <c r="C14" s="18"/>
      <c r="D14" s="47" t="s">
        <v>22</v>
      </c>
      <c r="E14" s="47"/>
      <c r="F14" s="47"/>
      <c r="G14" s="47"/>
      <c r="H14" s="47"/>
      <c r="I14" s="47"/>
      <c r="J14" s="47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26593.464</v>
      </c>
      <c r="G15" s="23">
        <f>G18</f>
        <v>20246.057000000001</v>
      </c>
      <c r="H15" s="23">
        <v>0</v>
      </c>
      <c r="I15" s="23">
        <f>I18</f>
        <v>6347.4070000000002</v>
      </c>
      <c r="J15" s="23">
        <f>J18</f>
        <v>0</v>
      </c>
      <c r="K15" s="19"/>
    </row>
    <row r="16" spans="1:17" s="17" customForma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x14ac:dyDescent="0.25">
      <c r="C18" s="18"/>
      <c r="D18" s="20" t="s">
        <v>26</v>
      </c>
      <c r="E18" s="21">
        <v>40</v>
      </c>
      <c r="F18" s="22">
        <f t="shared" si="0"/>
        <v>26593.464</v>
      </c>
      <c r="G18" s="23">
        <f>'1квартал'!G18+'2квартал'!G18+'3квартал'!G18+'4квартал'!G18</f>
        <v>20246.057000000001</v>
      </c>
      <c r="H18" s="23">
        <f>'1квартал'!H18+'2квартал'!H18+'3квартал'!H18+'4квартал'!H18</f>
        <v>0</v>
      </c>
      <c r="I18" s="23">
        <f>'1квартал'!I18+'2квартал'!I18+'3квартал'!I18+'4квартал'!I18</f>
        <v>6347.4070000000002</v>
      </c>
      <c r="J18" s="23">
        <f>'1квартал'!J18+'2квартал'!J18+'3квартал'!J18+'4квартал'!J18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43531.979200000002</v>
      </c>
      <c r="G19" s="23"/>
      <c r="H19" s="23"/>
      <c r="I19" s="23">
        <f>I20</f>
        <v>20246.057000000001</v>
      </c>
      <c r="J19" s="23">
        <f>J22</f>
        <v>23285.922200000001</v>
      </c>
      <c r="K19" s="19"/>
    </row>
    <row r="20" spans="3:11" s="17" customFormat="1" x14ac:dyDescent="0.25">
      <c r="C20" s="18"/>
      <c r="D20" s="20" t="s">
        <v>18</v>
      </c>
      <c r="E20" s="21">
        <v>60</v>
      </c>
      <c r="F20" s="22">
        <f t="shared" si="0"/>
        <v>20246.057000000001</v>
      </c>
      <c r="G20" s="23"/>
      <c r="H20" s="23"/>
      <c r="I20" s="23">
        <f>G18</f>
        <v>20246.057000000001</v>
      </c>
      <c r="J20" s="23"/>
      <c r="K20" s="19"/>
    </row>
    <row r="21" spans="3:11" s="17" customForma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x14ac:dyDescent="0.25">
      <c r="C22" s="18"/>
      <c r="D22" s="20" t="s">
        <v>20</v>
      </c>
      <c r="E22" s="21">
        <v>80</v>
      </c>
      <c r="F22" s="22">
        <f t="shared" si="0"/>
        <v>23285.922200000001</v>
      </c>
      <c r="G22" s="23"/>
      <c r="H22" s="23"/>
      <c r="I22" s="23"/>
      <c r="J22" s="23">
        <f>J26+J33</f>
        <v>23285.922200000001</v>
      </c>
      <c r="K22" s="19"/>
    </row>
    <row r="23" spans="3:11" s="17" customForma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x14ac:dyDescent="0.25">
      <c r="C24" s="18"/>
      <c r="D24" s="20" t="s">
        <v>29</v>
      </c>
      <c r="E24" s="21">
        <v>100</v>
      </c>
      <c r="F24" s="22">
        <f t="shared" si="0"/>
        <v>25955.888000000003</v>
      </c>
      <c r="G24" s="23">
        <f t="shared" ref="G24:H24" si="1">G26</f>
        <v>0</v>
      </c>
      <c r="H24" s="23">
        <f t="shared" si="1"/>
        <v>0</v>
      </c>
      <c r="I24" s="23">
        <f>I26</f>
        <v>3116.2689999999998</v>
      </c>
      <c r="J24" s="23">
        <f>J26</f>
        <v>22839.619000000002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x14ac:dyDescent="0.25">
      <c r="C26" s="18"/>
      <c r="D26" s="20" t="s">
        <v>31</v>
      </c>
      <c r="E26" s="21">
        <v>120</v>
      </c>
      <c r="F26" s="22">
        <f t="shared" si="0"/>
        <v>25955.888000000003</v>
      </c>
      <c r="G26" s="23">
        <f>'1квартал'!G26+'2квартал'!G26+'3квартал'!G26+'4квартал'!G26</f>
        <v>0</v>
      </c>
      <c r="H26" s="23">
        <f>'1квартал'!H26+'2квартал'!H26+'3квартал'!H26+'4квартал'!H26</f>
        <v>0</v>
      </c>
      <c r="I26" s="23">
        <f>'1квартал'!I26+'2квартал'!I26+'3квартал'!I26+'4квартал'!I26</f>
        <v>3116.2689999999998</v>
      </c>
      <c r="J26" s="23">
        <f>'1квартал'!J26+'2квартал'!J26+'3квартал'!J26+'4квартал'!J26</f>
        <v>22839.619000000002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x14ac:dyDescent="0.25">
      <c r="C29" s="18"/>
      <c r="D29" s="20" t="s">
        <v>34</v>
      </c>
      <c r="E29" s="21">
        <v>150</v>
      </c>
      <c r="F29" s="22">
        <f t="shared" si="0"/>
        <v>43531.979200000002</v>
      </c>
      <c r="G29" s="23">
        <f>G18</f>
        <v>20246.057000000001</v>
      </c>
      <c r="H29" s="23"/>
      <c r="I29" s="23">
        <f>J19</f>
        <v>23285.922200000001</v>
      </c>
      <c r="J29" s="23"/>
      <c r="K29" s="19"/>
    </row>
    <row r="30" spans="3:11" s="17" customForma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x14ac:dyDescent="0.25">
      <c r="C33" s="18"/>
      <c r="D33" s="20" t="s">
        <v>38</v>
      </c>
      <c r="E33" s="21">
        <v>190</v>
      </c>
      <c r="F33" s="22">
        <f t="shared" si="0"/>
        <v>637.57599999999979</v>
      </c>
      <c r="G33" s="23">
        <f>'1квартал'!G33+'2квартал'!G33+'3квартал'!G33+'4квартал'!G33</f>
        <v>0</v>
      </c>
      <c r="H33" s="23">
        <f>'1квартал'!H33+'2квартал'!H33+'3квартал'!H33+'4квартал'!H33</f>
        <v>0</v>
      </c>
      <c r="I33" s="23">
        <f>'1квартал'!I33+'2квартал'!I33+'3квартал'!I33+'4квартал'!I33</f>
        <v>191.27279999999996</v>
      </c>
      <c r="J33" s="23">
        <f>'1квартал'!J33+'2квартал'!J33+'3квартал'!J33+'4квартал'!J33</f>
        <v>446.30319999999983</v>
      </c>
      <c r="K33" s="44">
        <f>F33*100/F15</f>
        <v>2.3974913535145319</v>
      </c>
    </row>
    <row r="34" spans="3:11" s="17" customForma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x14ac:dyDescent="0.25">
      <c r="C36" s="18"/>
      <c r="D36" s="47" t="s">
        <v>41</v>
      </c>
      <c r="E36" s="47"/>
      <c r="F36" s="47"/>
      <c r="G36" s="47"/>
      <c r="H36" s="47"/>
      <c r="I36" s="47"/>
      <c r="J36" s="47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4.5066916666666668</v>
      </c>
      <c r="G37" s="23">
        <f>G40</f>
        <v>3.5557797249999998</v>
      </c>
      <c r="H37" s="23">
        <f t="shared" ref="H37:J37" si="2">H40</f>
        <v>0</v>
      </c>
      <c r="I37" s="23">
        <f t="shared" si="2"/>
        <v>0.95091194166666648</v>
      </c>
      <c r="J37" s="23">
        <f t="shared" si="2"/>
        <v>0</v>
      </c>
      <c r="K37" s="19"/>
    </row>
    <row r="38" spans="3:11" s="17" customForma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x14ac:dyDescent="0.25">
      <c r="C40" s="18"/>
      <c r="D40" s="20" t="s">
        <v>26</v>
      </c>
      <c r="E40" s="21">
        <v>330</v>
      </c>
      <c r="F40" s="22">
        <f t="shared" si="0"/>
        <v>4.5066916666666668</v>
      </c>
      <c r="G40" s="23">
        <f>('1квартал'!G40+'2квартал'!G40+'3квартал'!G40+'4квартал'!G40)/4</f>
        <v>3.5557797249999998</v>
      </c>
      <c r="H40" s="23">
        <f>('1квартал'!H40+'2квартал'!H40+'3квартал'!H40+'4квартал'!H40)/4</f>
        <v>0</v>
      </c>
      <c r="I40" s="23">
        <f>('1квартал'!I40+'2квартал'!I40+'3квартал'!I40+'4квартал'!I40)/4</f>
        <v>0.95091194166666648</v>
      </c>
      <c r="J40" s="23">
        <f>('1квартал'!J40+'2квартал'!J40+'3квартал'!J40+'4квартал'!J40)/4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7.0150031449166672</v>
      </c>
      <c r="G41" s="23"/>
      <c r="H41" s="23"/>
      <c r="I41" s="23">
        <f>I42</f>
        <v>3.5557797249999998</v>
      </c>
      <c r="J41" s="23">
        <f>J44</f>
        <v>3.4592234199166669</v>
      </c>
      <c r="K41" s="19"/>
    </row>
    <row r="42" spans="3:11" s="17" customFormat="1" x14ac:dyDescent="0.25">
      <c r="C42" s="18"/>
      <c r="D42" s="20" t="s">
        <v>18</v>
      </c>
      <c r="E42" s="21">
        <v>350</v>
      </c>
      <c r="F42" s="22">
        <f t="shared" si="0"/>
        <v>3.5557797249999998</v>
      </c>
      <c r="G42" s="23"/>
      <c r="H42" s="23"/>
      <c r="I42" s="23">
        <f>G40</f>
        <v>3.5557797249999998</v>
      </c>
      <c r="J42" s="23"/>
      <c r="K42" s="19"/>
    </row>
    <row r="43" spans="3:11" s="17" customForma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x14ac:dyDescent="0.25">
      <c r="C44" s="18"/>
      <c r="D44" s="20" t="s">
        <v>20</v>
      </c>
      <c r="E44" s="21">
        <v>370</v>
      </c>
      <c r="F44" s="22">
        <f t="shared" si="0"/>
        <v>3.4592234199166669</v>
      </c>
      <c r="G44" s="23"/>
      <c r="H44" s="23"/>
      <c r="I44" s="23"/>
      <c r="J44" s="23">
        <f>J48+J55</f>
        <v>3.4592234199166669</v>
      </c>
      <c r="K44" s="19"/>
    </row>
    <row r="45" spans="3:11" s="17" customForma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x14ac:dyDescent="0.25">
      <c r="C46" s="18"/>
      <c r="D46" s="20" t="s">
        <v>29</v>
      </c>
      <c r="E46" s="21">
        <v>390</v>
      </c>
      <c r="F46" s="22">
        <f t="shared" si="0"/>
        <v>4.3427666666666669</v>
      </c>
      <c r="G46" s="23">
        <f t="shared" ref="G46:H46" si="3">G48</f>
        <v>0</v>
      </c>
      <c r="H46" s="23">
        <f t="shared" si="3"/>
        <v>0</v>
      </c>
      <c r="I46" s="23">
        <f>I48</f>
        <v>0.99829074675000007</v>
      </c>
      <c r="J46" s="23">
        <f>J48</f>
        <v>3.3444759199166669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x14ac:dyDescent="0.25">
      <c r="C48" s="18"/>
      <c r="D48" s="20" t="s">
        <v>31</v>
      </c>
      <c r="E48" s="21">
        <v>410</v>
      </c>
      <c r="F48" s="22">
        <f t="shared" si="0"/>
        <v>4.3427666666666669</v>
      </c>
      <c r="G48" s="23">
        <f>('1квартал'!G48+'2квартал'!G48+'3квартал'!G48+'4квартал'!G48)/4</f>
        <v>0</v>
      </c>
      <c r="H48" s="23">
        <f>('1квартал'!H48+'2квартал'!H48+'3квартал'!H48+'4квартал'!H48)/4</f>
        <v>0</v>
      </c>
      <c r="I48" s="23">
        <f>('1квартал'!I48+'2квартал'!I48+'3квартал'!I48+'4квартал'!I48)/4</f>
        <v>0.99829074675000007</v>
      </c>
      <c r="J48" s="23">
        <f>('1квартал'!J48+'2квартал'!J48+'3квартал'!J48+'4квартал'!J48)/4</f>
        <v>3.3444759199166669</v>
      </c>
      <c r="K48" s="19"/>
    </row>
    <row r="49" spans="3:11" s="17" customForma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x14ac:dyDescent="0.25">
      <c r="C51" s="18"/>
      <c r="D51" s="20" t="s">
        <v>34</v>
      </c>
      <c r="E51" s="21">
        <v>440</v>
      </c>
      <c r="F51" s="22">
        <f t="shared" si="0"/>
        <v>7.0150031449166672</v>
      </c>
      <c r="G51" s="23">
        <f>I42</f>
        <v>3.5557797249999998</v>
      </c>
      <c r="H51" s="23"/>
      <c r="I51" s="23">
        <f>J44</f>
        <v>3.4592234199166669</v>
      </c>
      <c r="J51" s="23"/>
      <c r="K51" s="19"/>
    </row>
    <row r="52" spans="3:11" s="17" customForma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x14ac:dyDescent="0.25">
      <c r="C55" s="18"/>
      <c r="D55" s="20" t="s">
        <v>38</v>
      </c>
      <c r="E55" s="21">
        <v>480</v>
      </c>
      <c r="F55" s="22">
        <f t="shared" si="0"/>
        <v>0.16392499999999982</v>
      </c>
      <c r="G55" s="23">
        <f>('1квартал'!G55+'2квартал'!G55+'3квартал'!G55+'4квартал'!G55)/4</f>
        <v>0</v>
      </c>
      <c r="H55" s="23">
        <f>('1квартал'!H55+'2квартал'!H55+'3квартал'!H55+'4квартал'!H55)/4</f>
        <v>0</v>
      </c>
      <c r="I55" s="23">
        <f>('1квартал'!I55+'2квартал'!I55+'3квартал'!I55+'4квартал'!I55)/4</f>
        <v>4.9177499999999943E-2</v>
      </c>
      <c r="J55" s="23">
        <f>('1квартал'!J55+'2квартал'!J55+'3квартал'!J55+'4квартал'!J55)/4</f>
        <v>0.11474749999999986</v>
      </c>
      <c r="K55" s="19"/>
    </row>
    <row r="56" spans="3:11" s="17" customForma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x14ac:dyDescent="0.25">
      <c r="C58" s="18"/>
      <c r="D58" s="47" t="s">
        <v>41</v>
      </c>
      <c r="E58" s="47"/>
      <c r="F58" s="47"/>
      <c r="G58" s="47"/>
      <c r="H58" s="47"/>
      <c r="I58" s="47"/>
      <c r="J58" s="47"/>
      <c r="K58" s="19"/>
    </row>
    <row r="59" spans="3:11" s="17" customForma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x14ac:dyDescent="0.25">
      <c r="C62" s="18"/>
      <c r="D62" s="47" t="s">
        <v>46</v>
      </c>
      <c r="E62" s="47"/>
      <c r="F62" s="47"/>
      <c r="G62" s="47"/>
      <c r="H62" s="47"/>
      <c r="I62" s="47"/>
      <c r="J62" s="47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25955.888000000003</v>
      </c>
      <c r="G68" s="23">
        <f>'1квартал'!G68+'2квартал'!G68+'3квартал'!G68+'4квартал'!G68</f>
        <v>0</v>
      </c>
      <c r="H68" s="23">
        <f>'1квартал'!H68+'2квартал'!H68+'3квартал'!H68+'4квартал'!H68</f>
        <v>0</v>
      </c>
      <c r="I68" s="23">
        <f>'1квартал'!I68+'2квартал'!I68+'3квартал'!I68+'4квартал'!I68</f>
        <v>3116.2689999999998</v>
      </c>
      <c r="J68" s="23">
        <f>'1квартал'!J68+'2квартал'!J68+'3квартал'!J68+'4квартал'!J68</f>
        <v>22839.619000000002</v>
      </c>
      <c r="K68" s="14"/>
    </row>
    <row r="69" spans="3:12" x14ac:dyDescent="0.25">
      <c r="C69" s="5"/>
      <c r="D69" s="20" t="s">
        <v>48</v>
      </c>
      <c r="E69" s="21">
        <v>760</v>
      </c>
      <c r="F69" s="22">
        <f t="shared" si="0"/>
        <v>25955.888000000003</v>
      </c>
      <c r="G69" s="23">
        <f>'1квартал'!G69+'2квартал'!G69+'3квартал'!G69+'4квартал'!G69</f>
        <v>0</v>
      </c>
      <c r="H69" s="23">
        <f>'1квартал'!H69+'2квартал'!H69+'3квартал'!H69+'4квартал'!H69</f>
        <v>0</v>
      </c>
      <c r="I69" s="23">
        <f>'1квартал'!I69+'2квартал'!I69+'3квартал'!I69+'4квартал'!I69</f>
        <v>3116.2689999999998</v>
      </c>
      <c r="J69" s="23">
        <f>'1квартал'!J69+'2квартал'!J69+'3квартал'!J69+'4квартал'!J69</f>
        <v>22839.619000000002</v>
      </c>
      <c r="K69" s="14"/>
    </row>
    <row r="70" spans="3:12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x14ac:dyDescent="0.25">
      <c r="C73" s="5"/>
      <c r="D73" s="47" t="s">
        <v>53</v>
      </c>
      <c r="E73" s="47"/>
      <c r="F73" s="47"/>
      <c r="G73" s="47"/>
      <c r="H73" s="47"/>
      <c r="I73" s="47"/>
      <c r="J73" s="47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37556.598060000004</v>
      </c>
      <c r="G79" s="23">
        <f>'1квартал'!G79+'2квартал'!G79+'3квартал'!G79+'4квартал'!G79</f>
        <v>0</v>
      </c>
      <c r="H79" s="23">
        <f>'1квартал'!H79+'2квартал'!H79+'3квартал'!H79+'4квартал'!H79</f>
        <v>0</v>
      </c>
      <c r="I79" s="23">
        <f>'1квартал'!I79+'2квартал'!I79+'3квартал'!I79+'4квартал'!I79</f>
        <v>4508.8337799999999</v>
      </c>
      <c r="J79" s="23">
        <f>'1квартал'!J79+'2квартал'!J79+'3квартал'!J79+'4квартал'!J79</f>
        <v>33047.764280000003</v>
      </c>
      <c r="K79" s="26"/>
      <c r="L79" s="27"/>
    </row>
    <row r="80" spans="3:12" x14ac:dyDescent="0.25">
      <c r="C80" s="5"/>
      <c r="D80" s="20" t="s">
        <v>48</v>
      </c>
      <c r="E80" s="21">
        <v>860</v>
      </c>
      <c r="F80" s="22">
        <f t="shared" ref="F80:F86" si="4">SUM(G80:J80)</f>
        <v>37556.598060000004</v>
      </c>
      <c r="G80" s="23">
        <f>'1квартал'!G80+'2квартал'!G80+'3квартал'!G80+'4квартал'!G80</f>
        <v>0</v>
      </c>
      <c r="H80" s="23">
        <f>'1квартал'!H80+'2квартал'!H80+'3квартал'!H80+'4квартал'!H80</f>
        <v>0</v>
      </c>
      <c r="I80" s="23">
        <f>'1квартал'!I80+'2квартал'!I80+'3квартал'!I80+'4квартал'!I80</f>
        <v>4508.8337799999999</v>
      </c>
      <c r="J80" s="23">
        <f>'1квартал'!J80+'2квартал'!J80+'3квартал'!J80+'4квартал'!J80</f>
        <v>33047.764280000003</v>
      </c>
      <c r="K80" s="26"/>
      <c r="L80" s="27"/>
    </row>
    <row r="81" spans="3:19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63:J72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74:J86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15:J3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F8" sqref="F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t="15" hidden="1" x14ac:dyDescent="0.25"/>
    <row r="2" spans="1:17" ht="15" hidden="1" x14ac:dyDescent="0.25"/>
    <row r="3" spans="1:17" ht="15" hidden="1" x14ac:dyDescent="0.25"/>
    <row r="4" spans="1:17" ht="15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5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5" hidden="1" x14ac:dyDescent="0.25">
      <c r="A6" s="4"/>
    </row>
    <row r="7" spans="1:17" x14ac:dyDescent="0.25">
      <c r="A7" s="4"/>
      <c r="D7" s="5"/>
      <c r="E7" s="5"/>
      <c r="F7" s="33" t="s">
        <v>63</v>
      </c>
      <c r="G7" s="5"/>
      <c r="H7" s="5"/>
      <c r="I7" s="5"/>
      <c r="J7" s="5"/>
      <c r="K7" s="6"/>
      <c r="Q7" s="7"/>
    </row>
    <row r="8" spans="1:17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5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2528.2309999999998</v>
      </c>
      <c r="G15" s="40">
        <f>G18</f>
        <v>1932.482</v>
      </c>
      <c r="H15" s="40">
        <f>H18</f>
        <v>0</v>
      </c>
      <c r="I15" s="40">
        <f>I18</f>
        <v>595.74900000000002</v>
      </c>
      <c r="J15" s="40">
        <f>J18</f>
        <v>0</v>
      </c>
      <c r="K15" s="19"/>
    </row>
    <row r="16" spans="1:17" s="17" customForma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x14ac:dyDescent="0.25">
      <c r="C18" s="18"/>
      <c r="D18" s="37" t="s">
        <v>26</v>
      </c>
      <c r="E18" s="38">
        <v>40</v>
      </c>
      <c r="F18" s="39">
        <f t="shared" si="0"/>
        <v>2528.2309999999998</v>
      </c>
      <c r="G18" s="40">
        <v>1932.482</v>
      </c>
      <c r="H18" s="40">
        <v>0</v>
      </c>
      <c r="I18" s="40">
        <v>595.74900000000002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4035.8114999999998</v>
      </c>
      <c r="G19" s="40"/>
      <c r="H19" s="40"/>
      <c r="I19" s="40">
        <f>I20</f>
        <v>1932.482</v>
      </c>
      <c r="J19" s="40">
        <f>J22</f>
        <v>2103.3294999999998</v>
      </c>
      <c r="K19" s="19"/>
    </row>
    <row r="20" spans="3:11" s="17" customFormat="1" x14ac:dyDescent="0.25">
      <c r="C20" s="18"/>
      <c r="D20" s="37" t="s">
        <v>18</v>
      </c>
      <c r="E20" s="38">
        <v>60</v>
      </c>
      <c r="F20" s="39">
        <f t="shared" si="0"/>
        <v>1932.482</v>
      </c>
      <c r="G20" s="40"/>
      <c r="H20" s="40"/>
      <c r="I20" s="40">
        <f>G18</f>
        <v>1932.482</v>
      </c>
      <c r="J20" s="40"/>
      <c r="K20" s="19"/>
    </row>
    <row r="21" spans="3:11" s="17" customForma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x14ac:dyDescent="0.25">
      <c r="C22" s="18"/>
      <c r="D22" s="37" t="s">
        <v>20</v>
      </c>
      <c r="E22" s="38">
        <v>80</v>
      </c>
      <c r="F22" s="39">
        <f t="shared" si="0"/>
        <v>2103.3294999999998</v>
      </c>
      <c r="G22" s="40"/>
      <c r="H22" s="40"/>
      <c r="I22" s="40"/>
      <c r="J22" s="40">
        <f>J26+J33</f>
        <v>2103.3294999999998</v>
      </c>
      <c r="K22" s="19"/>
    </row>
    <row r="23" spans="3:11" s="17" customForma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x14ac:dyDescent="0.25">
      <c r="C24" s="18"/>
      <c r="D24" s="37" t="s">
        <v>29</v>
      </c>
      <c r="E24" s="38">
        <v>100</v>
      </c>
      <c r="F24" s="39">
        <f t="shared" si="0"/>
        <v>2337.4760000000001</v>
      </c>
      <c r="G24" s="40">
        <v>0</v>
      </c>
      <c r="H24" s="40">
        <v>0</v>
      </c>
      <c r="I24" s="40">
        <f>I26</f>
        <v>367.67500000000001</v>
      </c>
      <c r="J24" s="40">
        <f>J26</f>
        <v>1969.8009999999999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x14ac:dyDescent="0.25">
      <c r="C26" s="18"/>
      <c r="D26" s="37" t="s">
        <v>31</v>
      </c>
      <c r="E26" s="38">
        <v>120</v>
      </c>
      <c r="F26" s="39">
        <f t="shared" si="0"/>
        <v>2337.4760000000001</v>
      </c>
      <c r="G26" s="40">
        <v>0</v>
      </c>
      <c r="H26" s="40">
        <v>0</v>
      </c>
      <c r="I26" s="40">
        <v>367.67500000000001</v>
      </c>
      <c r="J26" s="40">
        <v>1969.8009999999999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x14ac:dyDescent="0.25">
      <c r="C29" s="18"/>
      <c r="D29" s="37" t="s">
        <v>34</v>
      </c>
      <c r="E29" s="38">
        <v>150</v>
      </c>
      <c r="F29" s="39">
        <f t="shared" si="0"/>
        <v>4035.8114999999998</v>
      </c>
      <c r="G29" s="40">
        <f>G18</f>
        <v>1932.482</v>
      </c>
      <c r="H29" s="40"/>
      <c r="I29" s="40">
        <f>J19</f>
        <v>2103.3294999999998</v>
      </c>
      <c r="J29" s="40"/>
      <c r="K29" s="19"/>
    </row>
    <row r="30" spans="3:11" s="17" customForma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x14ac:dyDescent="0.25">
      <c r="C33" s="18"/>
      <c r="D33" s="37" t="s">
        <v>38</v>
      </c>
      <c r="E33" s="38">
        <v>190</v>
      </c>
      <c r="F33" s="39">
        <f t="shared" si="0"/>
        <v>190.75499999999965</v>
      </c>
      <c r="G33" s="40">
        <v>0</v>
      </c>
      <c r="H33" s="40">
        <v>0</v>
      </c>
      <c r="I33" s="40">
        <f>(F15-F24)*0.3</f>
        <v>57.226499999999895</v>
      </c>
      <c r="J33" s="40">
        <f>F15-F24-I33</f>
        <v>133.52849999999975</v>
      </c>
      <c r="K33" s="19"/>
    </row>
    <row r="34" spans="3:11" s="17" customForma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4.9009</v>
      </c>
      <c r="G37" s="40">
        <f>G40</f>
        <v>3.8668101000000004</v>
      </c>
      <c r="H37" s="40">
        <v>0</v>
      </c>
      <c r="I37" s="40">
        <f>I40</f>
        <v>1.0340898999999999</v>
      </c>
      <c r="J37" s="40">
        <v>0</v>
      </c>
      <c r="K37" s="19"/>
    </row>
    <row r="38" spans="3:11" s="17" customForma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x14ac:dyDescent="0.25">
      <c r="C40" s="18"/>
      <c r="D40" s="37" t="s">
        <v>26</v>
      </c>
      <c r="E40" s="38">
        <v>330</v>
      </c>
      <c r="F40" s="39">
        <f t="shared" si="0"/>
        <v>4.9009</v>
      </c>
      <c r="G40" s="40">
        <f>4.9009-I40</f>
        <v>3.8668101000000004</v>
      </c>
      <c r="H40" s="40">
        <v>0</v>
      </c>
      <c r="I40" s="40">
        <f>4.9009*0.211</f>
        <v>1.0340898999999999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7.6250103899999999</v>
      </c>
      <c r="G41" s="40"/>
      <c r="H41" s="40"/>
      <c r="I41" s="40">
        <f>I42</f>
        <v>3.8668101000000004</v>
      </c>
      <c r="J41" s="40">
        <f>J44</f>
        <v>3.75820029</v>
      </c>
      <c r="K41" s="19"/>
    </row>
    <row r="42" spans="3:11" s="17" customFormat="1" x14ac:dyDescent="0.25">
      <c r="C42" s="18"/>
      <c r="D42" s="37" t="s">
        <v>18</v>
      </c>
      <c r="E42" s="38">
        <v>350</v>
      </c>
      <c r="F42" s="39">
        <f t="shared" si="0"/>
        <v>3.8668101000000004</v>
      </c>
      <c r="G42" s="40"/>
      <c r="H42" s="40"/>
      <c r="I42" s="40">
        <f>G40</f>
        <v>3.8668101000000004</v>
      </c>
      <c r="J42" s="40"/>
      <c r="K42" s="19"/>
    </row>
    <row r="43" spans="3:11" s="17" customForma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x14ac:dyDescent="0.25">
      <c r="C44" s="18"/>
      <c r="D44" s="37" t="s">
        <v>20</v>
      </c>
      <c r="E44" s="38">
        <v>370</v>
      </c>
      <c r="F44" s="39">
        <f t="shared" si="0"/>
        <v>3.75820029</v>
      </c>
      <c r="G44" s="40"/>
      <c r="H44" s="40"/>
      <c r="I44" s="40"/>
      <c r="J44" s="40">
        <f>J48+J55</f>
        <v>3.75820029</v>
      </c>
      <c r="K44" s="19"/>
    </row>
    <row r="45" spans="3:11" s="17" customForma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x14ac:dyDescent="0.25">
      <c r="C46" s="18"/>
      <c r="D46" s="37" t="s">
        <v>29</v>
      </c>
      <c r="E46" s="38">
        <v>390</v>
      </c>
      <c r="F46" s="39">
        <f t="shared" si="0"/>
        <v>4.6729000000000003</v>
      </c>
      <c r="G46" s="40">
        <v>0</v>
      </c>
      <c r="H46" s="40">
        <v>0</v>
      </c>
      <c r="I46" s="40">
        <f>I48</f>
        <v>1.07429971</v>
      </c>
      <c r="J46" s="40">
        <f>J48</f>
        <v>3.5986002900000003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x14ac:dyDescent="0.25">
      <c r="C48" s="18"/>
      <c r="D48" s="37" t="s">
        <v>31</v>
      </c>
      <c r="E48" s="38">
        <v>410</v>
      </c>
      <c r="F48" s="39">
        <f t="shared" si="0"/>
        <v>4.6729000000000003</v>
      </c>
      <c r="G48" s="40">
        <v>0</v>
      </c>
      <c r="H48" s="40">
        <v>0</v>
      </c>
      <c r="I48" s="40">
        <f>4.6729*0.2299</f>
        <v>1.07429971</v>
      </c>
      <c r="J48" s="40">
        <f>4.6729-I48</f>
        <v>3.5986002900000003</v>
      </c>
      <c r="K48" s="19"/>
    </row>
    <row r="49" spans="3:11" s="17" customForma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x14ac:dyDescent="0.25">
      <c r="C51" s="18"/>
      <c r="D51" s="37" t="s">
        <v>34</v>
      </c>
      <c r="E51" s="38">
        <v>440</v>
      </c>
      <c r="F51" s="39">
        <f t="shared" si="0"/>
        <v>7.6250103899999999</v>
      </c>
      <c r="G51" s="40">
        <f>I42</f>
        <v>3.8668101000000004</v>
      </c>
      <c r="H51" s="40"/>
      <c r="I51" s="40">
        <f>J44</f>
        <v>3.75820029</v>
      </c>
      <c r="J51" s="40"/>
      <c r="K51" s="19"/>
    </row>
    <row r="52" spans="3:11" s="17" customForma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x14ac:dyDescent="0.25">
      <c r="C55" s="18"/>
      <c r="D55" s="37" t="s">
        <v>38</v>
      </c>
      <c r="E55" s="38">
        <v>480</v>
      </c>
      <c r="F55" s="39">
        <f t="shared" si="0"/>
        <v>0.22799999999999976</v>
      </c>
      <c r="G55" s="40">
        <v>0</v>
      </c>
      <c r="H55" s="40">
        <v>0</v>
      </c>
      <c r="I55" s="40">
        <f>(F37-F46)*0.3</f>
        <v>6.8399999999999919E-2</v>
      </c>
      <c r="J55" s="40">
        <f>F37-F46-I55</f>
        <v>0.15959999999999985</v>
      </c>
      <c r="K55" s="19"/>
    </row>
    <row r="56" spans="3:11" s="17" customForma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x14ac:dyDescent="0.25">
      <c r="C59" s="18"/>
      <c r="D59" s="37" t="s">
        <v>43</v>
      </c>
      <c r="E59" s="38">
        <v>600</v>
      </c>
      <c r="F59" s="39">
        <f t="shared" si="0"/>
        <v>4.6729000000000003</v>
      </c>
      <c r="G59" s="40"/>
      <c r="H59" s="40"/>
      <c r="I59" s="40">
        <f>I48</f>
        <v>1.07429971</v>
      </c>
      <c r="J59" s="40">
        <f>J48</f>
        <v>3.5986002900000003</v>
      </c>
      <c r="K59" s="19"/>
    </row>
    <row r="60" spans="3:11" s="17" customForma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2337.4760000000001</v>
      </c>
      <c r="G68" s="41">
        <f>G69</f>
        <v>0</v>
      </c>
      <c r="H68" s="41">
        <f>H69</f>
        <v>0</v>
      </c>
      <c r="I68" s="41">
        <f>I69</f>
        <v>367.67500000000001</v>
      </c>
      <c r="J68" s="41">
        <f>J69</f>
        <v>1969.8009999999999</v>
      </c>
      <c r="K68" s="14"/>
    </row>
    <row r="69" spans="3:12" x14ac:dyDescent="0.25">
      <c r="C69" s="5"/>
      <c r="D69" s="37" t="s">
        <v>48</v>
      </c>
      <c r="E69" s="38">
        <v>760</v>
      </c>
      <c r="F69" s="39">
        <f t="shared" si="0"/>
        <v>2337.4760000000001</v>
      </c>
      <c r="G69" s="41">
        <f>G26</f>
        <v>0</v>
      </c>
      <c r="H69" s="41">
        <f>H26</f>
        <v>0</v>
      </c>
      <c r="I69" s="41">
        <f>I26</f>
        <v>367.67500000000001</v>
      </c>
      <c r="J69" s="41">
        <f>J26</f>
        <v>1969.8009999999999</v>
      </c>
      <c r="K69" s="14"/>
    </row>
    <row r="70" spans="3:12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3272.4663999999998</v>
      </c>
      <c r="G79" s="42">
        <f>G80</f>
        <v>0</v>
      </c>
      <c r="H79" s="42">
        <f>H80</f>
        <v>0</v>
      </c>
      <c r="I79" s="42">
        <f>I80</f>
        <v>514.745</v>
      </c>
      <c r="J79" s="42">
        <f>J80</f>
        <v>2757.7213999999999</v>
      </c>
      <c r="K79" s="26"/>
      <c r="L79" s="27"/>
    </row>
    <row r="80" spans="3:12" x14ac:dyDescent="0.25">
      <c r="C80" s="5"/>
      <c r="D80" s="37" t="s">
        <v>48</v>
      </c>
      <c r="E80" s="38">
        <v>860</v>
      </c>
      <c r="F80" s="39">
        <f t="shared" ref="F80:F86" si="1">SUM(G80:J80)</f>
        <v>3272.4663999999998</v>
      </c>
      <c r="G80" s="42">
        <v>0</v>
      </c>
      <c r="H80" s="42">
        <v>0</v>
      </c>
      <c r="I80" s="41">
        <f>I69*1.4</f>
        <v>514.745</v>
      </c>
      <c r="J80" s="41">
        <f>J69*1.4</f>
        <v>2757.7213999999999</v>
      </c>
      <c r="K80" s="26"/>
      <c r="L80" s="27"/>
    </row>
    <row r="81" spans="3:19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VN983055:WVR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LR983055:WLV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I29" sqref="I2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3" t="s">
        <v>64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2257.7240000000002</v>
      </c>
      <c r="G15" s="40">
        <f>G18</f>
        <v>1743.7639999999999</v>
      </c>
      <c r="H15" s="40">
        <f>H18</f>
        <v>0</v>
      </c>
      <c r="I15" s="40">
        <f>I18</f>
        <v>513.96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2257.7240000000002</v>
      </c>
      <c r="G18" s="40">
        <v>1743.7639999999999</v>
      </c>
      <c r="H18" s="40">
        <v>0</v>
      </c>
      <c r="I18" s="40">
        <v>513.96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3931.8431</v>
      </c>
      <c r="G19" s="40"/>
      <c r="H19" s="40"/>
      <c r="I19" s="40">
        <f>I20</f>
        <v>1743.7639999999999</v>
      </c>
      <c r="J19" s="40">
        <f>J22</f>
        <v>2188.0790999999999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1743.7639999999999</v>
      </c>
      <c r="G20" s="40"/>
      <c r="H20" s="40"/>
      <c r="I20" s="40">
        <f>G18</f>
        <v>1743.7639999999999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2188.0790999999999</v>
      </c>
      <c r="G22" s="40"/>
      <c r="H22" s="40"/>
      <c r="I22" s="40"/>
      <c r="J22" s="40">
        <f>J26+J33</f>
        <v>2188.0790999999999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2495.5010000000002</v>
      </c>
      <c r="G24" s="40">
        <v>0</v>
      </c>
      <c r="H24" s="40">
        <v>0</v>
      </c>
      <c r="I24" s="40">
        <f>I26</f>
        <v>140.97800000000001</v>
      </c>
      <c r="J24" s="40">
        <f>J26</f>
        <v>2354.5230000000001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2495.5010000000002</v>
      </c>
      <c r="G26" s="40">
        <v>0</v>
      </c>
      <c r="H26" s="40">
        <v>0</v>
      </c>
      <c r="I26" s="40">
        <v>140.97800000000001</v>
      </c>
      <c r="J26" s="40">
        <v>2354.5230000000001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3931.8431</v>
      </c>
      <c r="G29" s="40">
        <f>G18</f>
        <v>1743.7639999999999</v>
      </c>
      <c r="H29" s="40"/>
      <c r="I29" s="40">
        <f>J19</f>
        <v>2188.0790999999999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-237.77700000000004</v>
      </c>
      <c r="G33" s="40">
        <v>0</v>
      </c>
      <c r="H33" s="40">
        <v>0</v>
      </c>
      <c r="I33" s="40">
        <f>(F15-F24)*0.3</f>
        <v>-71.333100000000016</v>
      </c>
      <c r="J33" s="40">
        <f>F15-F24-I33</f>
        <v>-166.44390000000004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4.7321999999999997</v>
      </c>
      <c r="G37" s="40">
        <f>G40</f>
        <v>3.7337058000000001</v>
      </c>
      <c r="H37" s="40">
        <v>0</v>
      </c>
      <c r="I37" s="40">
        <f>I40</f>
        <v>0.99849419999999989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4.7321999999999997</v>
      </c>
      <c r="G40" s="40">
        <f>4.7322-I40</f>
        <v>3.7337058000000001</v>
      </c>
      <c r="H40" s="40">
        <v>0</v>
      </c>
      <c r="I40" s="40">
        <f>4.7322*0.211</f>
        <v>0.99849419999999989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7.3638759099999991</v>
      </c>
      <c r="G41" s="40"/>
      <c r="H41" s="40"/>
      <c r="I41" s="40">
        <f>I42</f>
        <v>3.7337058000000001</v>
      </c>
      <c r="J41" s="40">
        <f>J44</f>
        <v>3.6301701099999995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3.7337058000000001</v>
      </c>
      <c r="G42" s="40"/>
      <c r="H42" s="40"/>
      <c r="I42" s="40">
        <f>G40</f>
        <v>3.7337058000000001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3.6301701099999995</v>
      </c>
      <c r="G44" s="40"/>
      <c r="H44" s="40"/>
      <c r="I44" s="40"/>
      <c r="J44" s="40">
        <f>J48+J55</f>
        <v>3.6301701099999995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4.5311000000000003</v>
      </c>
      <c r="G46" s="40">
        <v>0</v>
      </c>
      <c r="H46" s="40">
        <v>0</v>
      </c>
      <c r="I46" s="40">
        <f>I48</f>
        <v>1.0416998900000001</v>
      </c>
      <c r="J46" s="40">
        <f>J48</f>
        <v>3.4894001100000001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4.5311000000000003</v>
      </c>
      <c r="G48" s="40">
        <v>0</v>
      </c>
      <c r="H48" s="40">
        <v>0</v>
      </c>
      <c r="I48" s="40">
        <f>4.5311*0.2299</f>
        <v>1.0416998900000001</v>
      </c>
      <c r="J48" s="40">
        <f>4.5311-I48</f>
        <v>3.4894001100000001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7.3638759099999991</v>
      </c>
      <c r="G51" s="40">
        <f>I42</f>
        <v>3.7337058000000001</v>
      </c>
      <c r="H51" s="40"/>
      <c r="I51" s="40">
        <f>J44</f>
        <v>3.6301701099999995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0.20109999999999939</v>
      </c>
      <c r="G55" s="40">
        <v>0</v>
      </c>
      <c r="H55" s="40">
        <v>0</v>
      </c>
      <c r="I55" s="40">
        <f>(F37-F46)*0.3</f>
        <v>6.0329999999999814E-2</v>
      </c>
      <c r="J55" s="40">
        <f>F37-F46-I55</f>
        <v>0.14076999999999956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4.5311000000000003</v>
      </c>
      <c r="G59" s="40"/>
      <c r="H59" s="40"/>
      <c r="I59" s="40">
        <f>I48</f>
        <v>1.0416998900000001</v>
      </c>
      <c r="J59" s="40">
        <f>J48</f>
        <v>3.4894001100000001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2495.5010000000002</v>
      </c>
      <c r="G68" s="41">
        <f>G69</f>
        <v>0</v>
      </c>
      <c r="H68" s="41">
        <f>H69</f>
        <v>0</v>
      </c>
      <c r="I68" s="41">
        <f>I69</f>
        <v>140.97800000000001</v>
      </c>
      <c r="J68" s="41">
        <f>J69</f>
        <v>2354.5230000000001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2495.5010000000002</v>
      </c>
      <c r="G69" s="41">
        <f>G26</f>
        <v>0</v>
      </c>
      <c r="H69" s="41">
        <f>H26</f>
        <v>0</v>
      </c>
      <c r="I69" s="41">
        <f>I26</f>
        <v>140.97800000000001</v>
      </c>
      <c r="J69" s="41">
        <f>J26</f>
        <v>2354.5230000000001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3493.7013999999999</v>
      </c>
      <c r="G79" s="42">
        <f>G80</f>
        <v>0</v>
      </c>
      <c r="H79" s="42">
        <f>H80</f>
        <v>0</v>
      </c>
      <c r="I79" s="42">
        <f>I80</f>
        <v>197.36920000000001</v>
      </c>
      <c r="J79" s="42">
        <f>J80</f>
        <v>3296.3321999999998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3493.7013999999999</v>
      </c>
      <c r="G80" s="42">
        <v>0</v>
      </c>
      <c r="H80" s="42">
        <v>0</v>
      </c>
      <c r="I80" s="41">
        <f>I69*1.4</f>
        <v>197.36920000000001</v>
      </c>
      <c r="J80" s="41">
        <f>J69*1.4</f>
        <v>3296.3321999999998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WVN983055:WVR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VRZ983055:VSD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BV983055:WBZ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LR983055:WLV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2"/>
  <sheetViews>
    <sheetView view="pageBreakPreview" topLeftCell="C7" zoomScaleNormal="100" zoomScaleSheetLayoutView="100" workbookViewId="0">
      <selection activeCell="G18" sqref="G1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3" t="s">
        <v>55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7" t="s">
        <v>22</v>
      </c>
      <c r="E14" s="47"/>
      <c r="F14" s="47"/>
      <c r="G14" s="47"/>
      <c r="H14" s="47"/>
      <c r="I14" s="47"/>
      <c r="J14" s="47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7734.6970000000001</v>
      </c>
      <c r="G15" s="23">
        <f>G18</f>
        <v>5903.2960000000003</v>
      </c>
      <c r="H15" s="23">
        <v>0</v>
      </c>
      <c r="I15" s="23">
        <f>I18</f>
        <v>1831.4010000000001</v>
      </c>
      <c r="J15" s="23">
        <f>J18</f>
        <v>0</v>
      </c>
      <c r="K15" s="19"/>
    </row>
    <row r="16" spans="1:17" s="17" customFormat="1" ht="15" customHeigh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ht="15" customHeigh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25">
      <c r="C18" s="18"/>
      <c r="D18" s="20" t="s">
        <v>26</v>
      </c>
      <c r="E18" s="21">
        <v>40</v>
      </c>
      <c r="F18" s="22">
        <f t="shared" si="0"/>
        <v>7734.6970000000001</v>
      </c>
      <c r="G18" s="23">
        <f>январь!G18+февраль!G18+март!G18</f>
        <v>5903.2960000000003</v>
      </c>
      <c r="H18" s="23">
        <f>январь!H18+февраль!H18+март!H18</f>
        <v>0</v>
      </c>
      <c r="I18" s="23">
        <f>январь!I18+февраль!I18+март!I18</f>
        <v>1831.4010000000001</v>
      </c>
      <c r="J18" s="23">
        <f>январь!J18+февраль!J18+март!J18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12708.0563</v>
      </c>
      <c r="G19" s="23"/>
      <c r="H19" s="23"/>
      <c r="I19" s="23">
        <f>I20</f>
        <v>5903.2960000000003</v>
      </c>
      <c r="J19" s="23">
        <f>J22</f>
        <v>6804.7602999999999</v>
      </c>
      <c r="K19" s="19"/>
    </row>
    <row r="20" spans="3:11" s="17" customFormat="1" ht="15" customHeight="1" x14ac:dyDescent="0.25">
      <c r="C20" s="18"/>
      <c r="D20" s="20" t="s">
        <v>18</v>
      </c>
      <c r="E20" s="21">
        <v>60</v>
      </c>
      <c r="F20" s="22">
        <f t="shared" si="0"/>
        <v>5903.2960000000003</v>
      </c>
      <c r="G20" s="23"/>
      <c r="H20" s="23"/>
      <c r="I20" s="23">
        <f>G18</f>
        <v>5903.2960000000003</v>
      </c>
      <c r="J20" s="23"/>
      <c r="K20" s="19"/>
    </row>
    <row r="21" spans="3:11" s="17" customFormat="1" ht="15" customHeigh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25">
      <c r="C22" s="18"/>
      <c r="D22" s="20" t="s">
        <v>20</v>
      </c>
      <c r="E22" s="21">
        <v>80</v>
      </c>
      <c r="F22" s="22">
        <f t="shared" si="0"/>
        <v>6804.7602999999999</v>
      </c>
      <c r="G22" s="23"/>
      <c r="H22" s="23"/>
      <c r="I22" s="23"/>
      <c r="J22" s="23">
        <f>J26+J33</f>
        <v>6804.7602999999999</v>
      </c>
      <c r="K22" s="19"/>
    </row>
    <row r="23" spans="3:11" s="17" customFormat="1" ht="15" customHeigh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25">
      <c r="C24" s="18"/>
      <c r="D24" s="20" t="s">
        <v>29</v>
      </c>
      <c r="E24" s="21">
        <v>100</v>
      </c>
      <c r="F24" s="22">
        <f t="shared" si="0"/>
        <v>7798.4980000000005</v>
      </c>
      <c r="G24" s="23">
        <f t="shared" ref="G24:H24" si="1">G26</f>
        <v>0</v>
      </c>
      <c r="H24" s="23">
        <f t="shared" si="1"/>
        <v>0</v>
      </c>
      <c r="I24" s="23">
        <f>I26</f>
        <v>949.077</v>
      </c>
      <c r="J24" s="23">
        <f>J26</f>
        <v>6849.4210000000003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ht="15" customHeight="1" x14ac:dyDescent="0.25">
      <c r="C26" s="18"/>
      <c r="D26" s="20" t="s">
        <v>31</v>
      </c>
      <c r="E26" s="21">
        <v>120</v>
      </c>
      <c r="F26" s="22">
        <f t="shared" si="0"/>
        <v>7798.4980000000005</v>
      </c>
      <c r="G26" s="23">
        <f>январь!G26+февраль!G26+март!G26</f>
        <v>0</v>
      </c>
      <c r="H26" s="23">
        <f>январь!H26+февраль!H26+март!H26</f>
        <v>0</v>
      </c>
      <c r="I26" s="23">
        <f>январь!I26+февраль!I26+март!I26</f>
        <v>949.077</v>
      </c>
      <c r="J26" s="23">
        <f>январь!J26+февраль!J26+март!J26</f>
        <v>6849.4210000000003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ht="15" customHeigh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25">
      <c r="C29" s="18"/>
      <c r="D29" s="20" t="s">
        <v>34</v>
      </c>
      <c r="E29" s="21">
        <v>150</v>
      </c>
      <c r="F29" s="22">
        <f t="shared" si="0"/>
        <v>12708.0563</v>
      </c>
      <c r="G29" s="23">
        <f>G18</f>
        <v>5903.2960000000003</v>
      </c>
      <c r="H29" s="23"/>
      <c r="I29" s="23">
        <f>J19</f>
        <v>6804.7602999999999</v>
      </c>
      <c r="J29" s="23"/>
      <c r="K29" s="19"/>
    </row>
    <row r="30" spans="3:11" s="17" customFormat="1" ht="15" customHeigh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25">
      <c r="C33" s="18"/>
      <c r="D33" s="20" t="s">
        <v>38</v>
      </c>
      <c r="E33" s="21">
        <v>190</v>
      </c>
      <c r="F33" s="22">
        <f t="shared" si="0"/>
        <v>-63.801000000000407</v>
      </c>
      <c r="G33" s="23">
        <f>январь!G33+февраль!G33+март!G33</f>
        <v>0</v>
      </c>
      <c r="H33" s="23">
        <f>январь!H33+февраль!H33+март!H33</f>
        <v>0</v>
      </c>
      <c r="I33" s="23">
        <f>январь!I33+февраль!I33+март!I33</f>
        <v>-19.140300000000117</v>
      </c>
      <c r="J33" s="23">
        <f>январь!J33+февраль!J33+март!J33</f>
        <v>-44.66070000000029</v>
      </c>
      <c r="K33" s="19"/>
    </row>
    <row r="34" spans="3:11" s="17" customFormat="1" ht="15" customHeigh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ht="15" customHeigh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 x14ac:dyDescent="0.25">
      <c r="C36" s="18"/>
      <c r="D36" s="47" t="s">
        <v>41</v>
      </c>
      <c r="E36" s="47"/>
      <c r="F36" s="47"/>
      <c r="G36" s="47"/>
      <c r="H36" s="47"/>
      <c r="I36" s="47"/>
      <c r="J36" s="47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4.8556999999999997</v>
      </c>
      <c r="G37" s="23">
        <f>G40</f>
        <v>3.8311473</v>
      </c>
      <c r="H37" s="23">
        <f t="shared" ref="H37:J37" si="2">H40</f>
        <v>0</v>
      </c>
      <c r="I37" s="23">
        <f t="shared" si="2"/>
        <v>1.0245526999999999</v>
      </c>
      <c r="J37" s="23">
        <f t="shared" si="2"/>
        <v>0</v>
      </c>
      <c r="K37" s="19"/>
    </row>
    <row r="38" spans="3:11" s="17" customFormat="1" ht="15" customHeigh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 x14ac:dyDescent="0.25">
      <c r="C40" s="18"/>
      <c r="D40" s="20" t="s">
        <v>26</v>
      </c>
      <c r="E40" s="21">
        <v>330</v>
      </c>
      <c r="F40" s="22">
        <f t="shared" si="0"/>
        <v>4.8556999999999997</v>
      </c>
      <c r="G40" s="23">
        <f>(январь!G40+февраль!G40+март!G40)/3</f>
        <v>3.8311473</v>
      </c>
      <c r="H40" s="23">
        <f>(январь!H40+февраль!H40+март!H40)/3</f>
        <v>0</v>
      </c>
      <c r="I40" s="23">
        <f>(январь!I40+февраль!I40+март!I40)/3</f>
        <v>1.0245526999999999</v>
      </c>
      <c r="J40" s="23">
        <f>(январь!J40+февраль!J40+март!J40)/3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7.5545507533333334</v>
      </c>
      <c r="G41" s="23"/>
      <c r="H41" s="23"/>
      <c r="I41" s="23">
        <f>I42</f>
        <v>3.8311473</v>
      </c>
      <c r="J41" s="23">
        <f>J44</f>
        <v>3.7234034533333333</v>
      </c>
      <c r="K41" s="19"/>
    </row>
    <row r="42" spans="3:11" s="17" customFormat="1" ht="15" customHeight="1" x14ac:dyDescent="0.25">
      <c r="C42" s="18"/>
      <c r="D42" s="20" t="s">
        <v>18</v>
      </c>
      <c r="E42" s="21">
        <v>350</v>
      </c>
      <c r="F42" s="22">
        <f t="shared" si="0"/>
        <v>3.8311473</v>
      </c>
      <c r="G42" s="23"/>
      <c r="H42" s="23"/>
      <c r="I42" s="23">
        <f>G40</f>
        <v>3.8311473</v>
      </c>
      <c r="J42" s="23"/>
      <c r="K42" s="19"/>
    </row>
    <row r="43" spans="3:11" s="17" customFormat="1" ht="15" customHeigh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25">
      <c r="C44" s="18"/>
      <c r="D44" s="20" t="s">
        <v>20</v>
      </c>
      <c r="E44" s="21">
        <v>370</v>
      </c>
      <c r="F44" s="22">
        <f t="shared" si="0"/>
        <v>3.7234034533333333</v>
      </c>
      <c r="G44" s="23"/>
      <c r="H44" s="23"/>
      <c r="I44" s="23"/>
      <c r="J44" s="23">
        <f>J48+J55</f>
        <v>3.7234034533333333</v>
      </c>
      <c r="K44" s="19"/>
    </row>
    <row r="45" spans="3:11" s="17" customFormat="1" ht="15" customHeigh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25">
      <c r="C46" s="18"/>
      <c r="D46" s="20" t="s">
        <v>29</v>
      </c>
      <c r="E46" s="21">
        <v>390</v>
      </c>
      <c r="F46" s="22">
        <f t="shared" si="0"/>
        <v>4.6278666666666668</v>
      </c>
      <c r="G46" s="23">
        <f>(январь!G46+февраль!G46+март!G46)/3</f>
        <v>0</v>
      </c>
      <c r="H46" s="23">
        <f>(январь!H46+февраль!H46+март!H46)/3</f>
        <v>0</v>
      </c>
      <c r="I46" s="23">
        <f>(январь!I46+февраль!I46+март!I46)/3</f>
        <v>1.0639465466666669</v>
      </c>
      <c r="J46" s="23">
        <f>(январь!J46+февраль!J46+март!J46)/3</f>
        <v>3.5639201200000001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ht="15" customHeight="1" x14ac:dyDescent="0.25">
      <c r="C48" s="18"/>
      <c r="D48" s="20" t="s">
        <v>31</v>
      </c>
      <c r="E48" s="21">
        <v>410</v>
      </c>
      <c r="F48" s="22">
        <f t="shared" si="0"/>
        <v>4.6278666666666668</v>
      </c>
      <c r="G48" s="23">
        <f>(январь!G48+февраль!G48+март!G48)/3</f>
        <v>0</v>
      </c>
      <c r="H48" s="23">
        <f>(январь!H48+февраль!H48+март!H48)/3</f>
        <v>0</v>
      </c>
      <c r="I48" s="23">
        <f>(январь!I48+февраль!I48+март!I48)/3</f>
        <v>1.0639465466666669</v>
      </c>
      <c r="J48" s="23">
        <f>(январь!J48+февраль!J48+март!J48)/3</f>
        <v>3.5639201200000001</v>
      </c>
      <c r="K48" s="19"/>
    </row>
    <row r="49" spans="3:11" s="17" customFormat="1" ht="15" customHeigh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ht="15" customHeigh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25">
      <c r="C51" s="18"/>
      <c r="D51" s="20" t="s">
        <v>34</v>
      </c>
      <c r="E51" s="21">
        <v>440</v>
      </c>
      <c r="F51" s="22">
        <f t="shared" si="0"/>
        <v>7.5545507533333334</v>
      </c>
      <c r="G51" s="23">
        <f>I42</f>
        <v>3.8311473</v>
      </c>
      <c r="H51" s="23"/>
      <c r="I51" s="23">
        <f>J44</f>
        <v>3.7234034533333333</v>
      </c>
      <c r="J51" s="23"/>
      <c r="K51" s="19"/>
    </row>
    <row r="52" spans="3:11" s="17" customFormat="1" ht="15" customHeigh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25">
      <c r="C55" s="18"/>
      <c r="D55" s="20" t="s">
        <v>38</v>
      </c>
      <c r="E55" s="21">
        <v>480</v>
      </c>
      <c r="F55" s="22">
        <f t="shared" si="0"/>
        <v>0.22783333333333317</v>
      </c>
      <c r="G55" s="23">
        <f>(январь!G55+февраль!G55+март!G55)/3</f>
        <v>0</v>
      </c>
      <c r="H55" s="23">
        <f>(январь!H55+февраль!H55+март!H55)/3</f>
        <v>0</v>
      </c>
      <c r="I55" s="23">
        <f>(январь!I55+февраль!I55+март!I55)/3</f>
        <v>6.8349999999999952E-2</v>
      </c>
      <c r="J55" s="23">
        <f>(январь!J55+февраль!J55+март!J55)/3</f>
        <v>0.15948333333333323</v>
      </c>
      <c r="K55" s="19"/>
    </row>
    <row r="56" spans="3:11" s="17" customFormat="1" ht="15" customHeigh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ht="15" customHeigh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25">
      <c r="C58" s="18"/>
      <c r="D58" s="47" t="s">
        <v>41</v>
      </c>
      <c r="E58" s="47"/>
      <c r="F58" s="47"/>
      <c r="G58" s="47"/>
      <c r="H58" s="47"/>
      <c r="I58" s="47"/>
      <c r="J58" s="47"/>
      <c r="K58" s="19"/>
    </row>
    <row r="59" spans="3:11" s="17" customFormat="1" ht="15" customHeigh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ht="15" customHeigh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25">
      <c r="C62" s="18"/>
      <c r="D62" s="47" t="s">
        <v>46</v>
      </c>
      <c r="E62" s="47"/>
      <c r="F62" s="47"/>
      <c r="G62" s="47"/>
      <c r="H62" s="47"/>
      <c r="I62" s="47"/>
      <c r="J62" s="47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ht="15" customHeight="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ht="15" customHeight="1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ht="15" customHeight="1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ht="15" customHeight="1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7798.4980000000005</v>
      </c>
      <c r="G68" s="23">
        <f>январь!G68+февраль!G68+март!G68</f>
        <v>0</v>
      </c>
      <c r="H68" s="23">
        <f>январь!H68+февраль!H68+март!H68</f>
        <v>0</v>
      </c>
      <c r="I68" s="23">
        <f>январь!I68+февраль!I68+март!I68</f>
        <v>949.077</v>
      </c>
      <c r="J68" s="23">
        <f>январь!J68+февраль!J68+март!J68</f>
        <v>6849.4210000000003</v>
      </c>
      <c r="K68" s="14"/>
    </row>
    <row r="69" spans="3:12" ht="15" customHeight="1" x14ac:dyDescent="0.25">
      <c r="C69" s="5"/>
      <c r="D69" s="20" t="s">
        <v>48</v>
      </c>
      <c r="E69" s="21">
        <v>760</v>
      </c>
      <c r="F69" s="22">
        <f t="shared" si="0"/>
        <v>7798.4980000000005</v>
      </c>
      <c r="G69" s="23">
        <f>январь!G69+февраль!G69+март!G69</f>
        <v>0</v>
      </c>
      <c r="H69" s="23">
        <f>январь!H69+февраль!H69+март!H69</f>
        <v>0</v>
      </c>
      <c r="I69" s="23">
        <f>январь!I69+февраль!I69+март!I69</f>
        <v>949.077</v>
      </c>
      <c r="J69" s="23">
        <f>январь!J69+февраль!J69+март!J69</f>
        <v>6849.4210000000003</v>
      </c>
      <c r="K69" s="14"/>
    </row>
    <row r="70" spans="3:12" ht="15" customHeight="1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ht="15" customHeight="1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ht="15" customHeight="1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ht="15" customHeight="1" x14ac:dyDescent="0.25">
      <c r="C73" s="5"/>
      <c r="D73" s="47" t="s">
        <v>53</v>
      </c>
      <c r="E73" s="47"/>
      <c r="F73" s="47"/>
      <c r="G73" s="47"/>
      <c r="H73" s="47"/>
      <c r="I73" s="47"/>
      <c r="J73" s="47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ht="15" customHeight="1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ht="15" customHeight="1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ht="15" customHeight="1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ht="15" customHeight="1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10917.897199999999</v>
      </c>
      <c r="G79" s="23">
        <f>январь!G79+февраль!G79+март!G79</f>
        <v>0</v>
      </c>
      <c r="H79" s="23">
        <f>январь!H79+февраль!H79+март!H79</f>
        <v>0</v>
      </c>
      <c r="I79" s="23">
        <f>январь!I79+февраль!I79+март!I79</f>
        <v>1328.7078000000001</v>
      </c>
      <c r="J79" s="23">
        <f>январь!J79+февраль!J79+март!J79</f>
        <v>9589.1893999999993</v>
      </c>
      <c r="K79" s="26"/>
      <c r="L79" s="27"/>
    </row>
    <row r="80" spans="3:12" ht="15" customHeight="1" x14ac:dyDescent="0.25">
      <c r="C80" s="5"/>
      <c r="D80" s="20" t="s">
        <v>48</v>
      </c>
      <c r="E80" s="21">
        <v>860</v>
      </c>
      <c r="F80" s="22">
        <f t="shared" ref="F80:F86" si="3">SUM(G80:J80)</f>
        <v>10917.897199999999</v>
      </c>
      <c r="G80" s="23">
        <f>январь!G80+февраль!G80+март!G80</f>
        <v>0</v>
      </c>
      <c r="H80" s="23">
        <f>январь!H80+февраль!H80+март!H80</f>
        <v>0</v>
      </c>
      <c r="I80" s="23">
        <f>январь!I80+февраль!I80+март!I80</f>
        <v>1328.7078000000001</v>
      </c>
      <c r="J80" s="23">
        <f>январь!J80+февраль!J80+март!J80</f>
        <v>9589.1893999999993</v>
      </c>
      <c r="K80" s="26"/>
      <c r="L80" s="27"/>
    </row>
    <row r="81" spans="3:19" ht="15" customHeight="1" x14ac:dyDescent="0.25">
      <c r="C81" s="5"/>
      <c r="D81" s="20" t="s">
        <v>49</v>
      </c>
      <c r="E81" s="21">
        <v>870</v>
      </c>
      <c r="F81" s="22">
        <f t="shared" si="3"/>
        <v>0</v>
      </c>
      <c r="G81" s="25"/>
      <c r="H81" s="25"/>
      <c r="I81" s="25"/>
      <c r="J81" s="25"/>
      <c r="K81" s="26"/>
      <c r="L81" s="27"/>
    </row>
    <row r="82" spans="3:19" ht="15" customHeight="1" x14ac:dyDescent="0.25">
      <c r="C82" s="5"/>
      <c r="D82" s="20" t="s">
        <v>50</v>
      </c>
      <c r="E82" s="21">
        <v>880</v>
      </c>
      <c r="F82" s="22">
        <f t="shared" si="3"/>
        <v>0</v>
      </c>
      <c r="G82" s="24"/>
      <c r="H82" s="24"/>
      <c r="I82" s="24"/>
      <c r="J82" s="24"/>
      <c r="K82" s="26"/>
      <c r="L82" s="27"/>
    </row>
    <row r="83" spans="3:19" ht="15" customHeight="1" x14ac:dyDescent="0.25">
      <c r="C83" s="5"/>
      <c r="D83" s="20" t="s">
        <v>51</v>
      </c>
      <c r="E83" s="21">
        <v>890</v>
      </c>
      <c r="F83" s="22">
        <f t="shared" si="3"/>
        <v>0</v>
      </c>
      <c r="G83" s="28"/>
      <c r="H83" s="28"/>
      <c r="I83" s="28"/>
      <c r="J83" s="28"/>
      <c r="K83" s="26"/>
      <c r="L83" s="27"/>
    </row>
    <row r="84" spans="3:19" ht="15" customHeight="1" x14ac:dyDescent="0.25">
      <c r="C84" s="5"/>
      <c r="D84" s="20" t="s">
        <v>54</v>
      </c>
      <c r="E84" s="21">
        <v>900</v>
      </c>
      <c r="F84" s="22">
        <f t="shared" si="3"/>
        <v>0</v>
      </c>
      <c r="G84" s="28"/>
      <c r="H84" s="28"/>
      <c r="I84" s="28"/>
      <c r="J84" s="28"/>
      <c r="K84" s="26"/>
      <c r="L84" s="27"/>
    </row>
    <row r="85" spans="3:19" ht="15" customHeight="1" x14ac:dyDescent="0.25">
      <c r="C85" s="5"/>
      <c r="D85" s="20" t="s">
        <v>51</v>
      </c>
      <c r="E85" s="21">
        <v>910</v>
      </c>
      <c r="F85" s="22">
        <f t="shared" si="3"/>
        <v>0</v>
      </c>
      <c r="G85" s="28"/>
      <c r="H85" s="28"/>
      <c r="I85" s="28"/>
      <c r="J85" s="28"/>
      <c r="K85" s="26"/>
      <c r="L85" s="27"/>
    </row>
    <row r="86" spans="3:19" ht="15" customHeight="1" x14ac:dyDescent="0.25">
      <c r="C86" s="5"/>
      <c r="D86" s="20" t="s">
        <v>50</v>
      </c>
      <c r="E86" s="21">
        <v>920</v>
      </c>
      <c r="F86" s="22">
        <f t="shared" si="3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63:J72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74:J86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15:J3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F7" sqref="F7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3" t="s">
        <v>65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1936.5170000000001</v>
      </c>
      <c r="G15" s="40">
        <f>G18</f>
        <v>1480.15</v>
      </c>
      <c r="H15" s="40">
        <f>H18</f>
        <v>0</v>
      </c>
      <c r="I15" s="40">
        <f>I18</f>
        <v>456.36700000000002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1936.5170000000001</v>
      </c>
      <c r="G18" s="40">
        <v>1480.15</v>
      </c>
      <c r="H18" s="40">
        <v>0</v>
      </c>
      <c r="I18" s="40">
        <v>456.36700000000002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3220.3401000000003</v>
      </c>
      <c r="G19" s="40"/>
      <c r="H19" s="40"/>
      <c r="I19" s="40">
        <f>I20</f>
        <v>1480.15</v>
      </c>
      <c r="J19" s="40">
        <f>J22</f>
        <v>1740.1901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1480.15</v>
      </c>
      <c r="G20" s="40"/>
      <c r="H20" s="40"/>
      <c r="I20" s="40">
        <f>G18</f>
        <v>1480.15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1740.1901</v>
      </c>
      <c r="G22" s="40"/>
      <c r="H22" s="40"/>
      <c r="I22" s="40"/>
      <c r="J22" s="40">
        <f>J26+J33</f>
        <v>1740.1901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1959.9940000000001</v>
      </c>
      <c r="G24" s="40">
        <v>0</v>
      </c>
      <c r="H24" s="40">
        <v>0</v>
      </c>
      <c r="I24" s="40">
        <f>I26</f>
        <v>203.37</v>
      </c>
      <c r="J24" s="40">
        <f>J26</f>
        <v>1756.624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1959.9940000000001</v>
      </c>
      <c r="G26" s="40">
        <v>0</v>
      </c>
      <c r="H26" s="40">
        <v>0</v>
      </c>
      <c r="I26" s="40">
        <v>203.37</v>
      </c>
      <c r="J26" s="40">
        <v>1756.624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3220.3401000000003</v>
      </c>
      <c r="G29" s="40">
        <f>G18</f>
        <v>1480.15</v>
      </c>
      <c r="H29" s="40"/>
      <c r="I29" s="40">
        <f>J19</f>
        <v>1740.1901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-23.477000000000089</v>
      </c>
      <c r="G33" s="40">
        <v>0</v>
      </c>
      <c r="H33" s="40">
        <v>0</v>
      </c>
      <c r="I33" s="40">
        <f>(F15-F24)*0.3</f>
        <v>-7.0431000000000266</v>
      </c>
      <c r="J33" s="40">
        <f>F15-F24-I33</f>
        <v>-16.433900000000062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4.3639999999999999</v>
      </c>
      <c r="G37" s="40">
        <f>G40</f>
        <v>3.4431959999999999</v>
      </c>
      <c r="H37" s="40">
        <v>0</v>
      </c>
      <c r="I37" s="40">
        <f>I40</f>
        <v>0.92080399999999996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4.3639999999999999</v>
      </c>
      <c r="G40" s="40">
        <f>4.364-I40</f>
        <v>3.4431959999999999</v>
      </c>
      <c r="H40" s="40">
        <v>0</v>
      </c>
      <c r="I40" s="40">
        <f>4.364*0.211</f>
        <v>0.92080399999999996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6.79257723</v>
      </c>
      <c r="G41" s="40"/>
      <c r="H41" s="40"/>
      <c r="I41" s="40">
        <f>I42</f>
        <v>3.4431959999999999</v>
      </c>
      <c r="J41" s="40">
        <f>J44</f>
        <v>3.3493812300000001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3.4431959999999999</v>
      </c>
      <c r="G42" s="40"/>
      <c r="H42" s="40"/>
      <c r="I42" s="40">
        <f>G40</f>
        <v>3.4431959999999999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3.3493812300000001</v>
      </c>
      <c r="G44" s="40"/>
      <c r="H44" s="40"/>
      <c r="I44" s="40"/>
      <c r="J44" s="40">
        <f>J48+J55</f>
        <v>3.3493812300000001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4.2023000000000001</v>
      </c>
      <c r="G46" s="40">
        <v>0</v>
      </c>
      <c r="H46" s="40">
        <v>0</v>
      </c>
      <c r="I46" s="40">
        <f>I48</f>
        <v>0.96610876999999995</v>
      </c>
      <c r="J46" s="40">
        <f>J48</f>
        <v>3.2361912300000002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4.2023000000000001</v>
      </c>
      <c r="G48" s="40">
        <v>0</v>
      </c>
      <c r="H48" s="40">
        <v>0</v>
      </c>
      <c r="I48" s="40">
        <f>4.2023*0.2299</f>
        <v>0.96610876999999995</v>
      </c>
      <c r="J48" s="40">
        <f>4.2023-I48</f>
        <v>3.2361912300000002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6.79257723</v>
      </c>
      <c r="G51" s="40">
        <f>I42</f>
        <v>3.4431959999999999</v>
      </c>
      <c r="H51" s="40"/>
      <c r="I51" s="40">
        <f>J44</f>
        <v>3.3493812300000001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0.16169999999999973</v>
      </c>
      <c r="G55" s="40">
        <v>0</v>
      </c>
      <c r="H55" s="40">
        <v>0</v>
      </c>
      <c r="I55" s="40">
        <f>(F37-F46)*0.3</f>
        <v>4.8509999999999921E-2</v>
      </c>
      <c r="J55" s="40">
        <f>F37-F46-I55</f>
        <v>0.11318999999999982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4.2023000000000001</v>
      </c>
      <c r="G59" s="40"/>
      <c r="H59" s="40"/>
      <c r="I59" s="40">
        <f>I48</f>
        <v>0.96610876999999995</v>
      </c>
      <c r="J59" s="40">
        <f>J48</f>
        <v>3.2361912300000002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1959.9940000000001</v>
      </c>
      <c r="G68" s="41">
        <f>G69</f>
        <v>0</v>
      </c>
      <c r="H68" s="41">
        <f>H69</f>
        <v>0</v>
      </c>
      <c r="I68" s="41">
        <f>I69</f>
        <v>203.37</v>
      </c>
      <c r="J68" s="41">
        <f>J69</f>
        <v>1756.624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1959.9940000000001</v>
      </c>
      <c r="G69" s="41">
        <f>G26</f>
        <v>0</v>
      </c>
      <c r="H69" s="41">
        <f>H26</f>
        <v>0</v>
      </c>
      <c r="I69" s="41">
        <f>I26</f>
        <v>203.37</v>
      </c>
      <c r="J69" s="41">
        <f>J26</f>
        <v>1756.624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2743.9915999999998</v>
      </c>
      <c r="G79" s="42">
        <f>G80</f>
        <v>0</v>
      </c>
      <c r="H79" s="42">
        <f>H80</f>
        <v>0</v>
      </c>
      <c r="I79" s="42">
        <f>I80</f>
        <v>284.71799999999996</v>
      </c>
      <c r="J79" s="42">
        <f>J80</f>
        <v>2459.2736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2743.9915999999998</v>
      </c>
      <c r="G80" s="42">
        <v>0</v>
      </c>
      <c r="H80" s="42">
        <v>0</v>
      </c>
      <c r="I80" s="41">
        <f>I69*1.4</f>
        <v>284.71799999999996</v>
      </c>
      <c r="J80" s="41">
        <f>J69*1.4</f>
        <v>2459.2736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58" zoomScaleNormal="100" zoomScaleSheetLayoutView="100" workbookViewId="0">
      <selection activeCell="H85" sqref="H84:H85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48" t="s">
        <v>66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1765.076</v>
      </c>
      <c r="G15" s="40">
        <f>G18</f>
        <v>1340.6179999999999</v>
      </c>
      <c r="H15" s="40">
        <f>H18</f>
        <v>0</v>
      </c>
      <c r="I15" s="40">
        <f>I18</f>
        <v>424.45800000000003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1765.076</v>
      </c>
      <c r="G18" s="40">
        <v>1340.6179999999999</v>
      </c>
      <c r="H18" s="40">
        <v>0</v>
      </c>
      <c r="I18" s="40">
        <v>424.45800000000003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2898.8119999999999</v>
      </c>
      <c r="G19" s="40"/>
      <c r="H19" s="40"/>
      <c r="I19" s="40">
        <f>I20</f>
        <v>1340.6179999999999</v>
      </c>
      <c r="J19" s="40">
        <f>J22</f>
        <v>1558.194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1340.6179999999999</v>
      </c>
      <c r="G20" s="40"/>
      <c r="H20" s="40"/>
      <c r="I20" s="40">
        <f>G18</f>
        <v>1340.6179999999999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1558.194</v>
      </c>
      <c r="G22" s="40"/>
      <c r="H22" s="40"/>
      <c r="I22" s="40"/>
      <c r="J22" s="40">
        <f>J26+J33</f>
        <v>1558.194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1761.076</v>
      </c>
      <c r="G24" s="40">
        <v>0</v>
      </c>
      <c r="H24" s="40">
        <v>0</v>
      </c>
      <c r="I24" s="40">
        <f>I26</f>
        <v>205.68199999999999</v>
      </c>
      <c r="J24" s="40">
        <f>J26</f>
        <v>1555.394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1761.076</v>
      </c>
      <c r="G26" s="40">
        <v>0</v>
      </c>
      <c r="H26" s="40">
        <v>0</v>
      </c>
      <c r="I26" s="40">
        <v>205.68199999999999</v>
      </c>
      <c r="J26" s="40">
        <v>1555.394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2898.8119999999999</v>
      </c>
      <c r="G29" s="40">
        <f>G18</f>
        <v>1340.6179999999999</v>
      </c>
      <c r="H29" s="40"/>
      <c r="I29" s="40">
        <f>J19</f>
        <v>1558.194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4</v>
      </c>
      <c r="G33" s="40">
        <v>0</v>
      </c>
      <c r="H33" s="40">
        <v>0</v>
      </c>
      <c r="I33" s="40">
        <f>(F15-F24)*0.3</f>
        <v>1.2</v>
      </c>
      <c r="J33" s="40">
        <f>F15-F24-I33</f>
        <v>2.8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4.22</v>
      </c>
      <c r="G37" s="40">
        <f>G40</f>
        <v>3.32958</v>
      </c>
      <c r="H37" s="40">
        <v>0</v>
      </c>
      <c r="I37" s="40">
        <f>I40</f>
        <v>0.89041999999999988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4.22</v>
      </c>
      <c r="G40" s="40">
        <f>4.22-I40</f>
        <v>3.32958</v>
      </c>
      <c r="H40" s="40">
        <v>0</v>
      </c>
      <c r="I40" s="40">
        <f>4.22*0.211</f>
        <v>0.89041999999999988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6.5781612300000001</v>
      </c>
      <c r="G41" s="40"/>
      <c r="H41" s="40"/>
      <c r="I41" s="40">
        <f>I42</f>
        <v>3.32958</v>
      </c>
      <c r="J41" s="40">
        <f>J44</f>
        <v>3.2485812300000001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3.32958</v>
      </c>
      <c r="G42" s="40"/>
      <c r="H42" s="40"/>
      <c r="I42" s="40">
        <f>G40</f>
        <v>3.32958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3.2485812300000001</v>
      </c>
      <c r="G44" s="40"/>
      <c r="H44" s="40"/>
      <c r="I44" s="40"/>
      <c r="J44" s="40">
        <f>J48+J55</f>
        <v>3.2485812300000001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4.2023000000000001</v>
      </c>
      <c r="G46" s="40">
        <v>0</v>
      </c>
      <c r="H46" s="40">
        <v>0</v>
      </c>
      <c r="I46" s="40">
        <f>I48</f>
        <v>0.96610876999999995</v>
      </c>
      <c r="J46" s="40">
        <f>J48</f>
        <v>3.2361912300000002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4.2023000000000001</v>
      </c>
      <c r="G48" s="40">
        <v>0</v>
      </c>
      <c r="H48" s="40">
        <v>0</v>
      </c>
      <c r="I48" s="40">
        <f>4.2023*0.2299</f>
        <v>0.96610876999999995</v>
      </c>
      <c r="J48" s="40">
        <f>4.2023-I48</f>
        <v>3.2361912300000002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6.5781612300000001</v>
      </c>
      <c r="G51" s="40">
        <f>I42</f>
        <v>3.32958</v>
      </c>
      <c r="H51" s="40"/>
      <c r="I51" s="40">
        <f>J44</f>
        <v>3.2485812300000001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1.7699999999999605E-2</v>
      </c>
      <c r="G55" s="40">
        <v>0</v>
      </c>
      <c r="H55" s="40">
        <v>0</v>
      </c>
      <c r="I55" s="40">
        <f>(F37-F46)*0.3</f>
        <v>5.3099999999998817E-3</v>
      </c>
      <c r="J55" s="40">
        <f>F37-F46-I55</f>
        <v>1.2389999999999724E-2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4.2023000000000001</v>
      </c>
      <c r="G59" s="40"/>
      <c r="H59" s="40"/>
      <c r="I59" s="40">
        <f>I48</f>
        <v>0.96610876999999995</v>
      </c>
      <c r="J59" s="40">
        <f>J48</f>
        <v>3.2361912300000002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1761.076</v>
      </c>
      <c r="G68" s="41">
        <f>G69</f>
        <v>0</v>
      </c>
      <c r="H68" s="41">
        <f>H69</f>
        <v>0</v>
      </c>
      <c r="I68" s="41">
        <f>I69</f>
        <v>205.68199999999999</v>
      </c>
      <c r="J68" s="41">
        <f>J69</f>
        <v>1555.394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1761.076</v>
      </c>
      <c r="G69" s="41">
        <f>G26</f>
        <v>0</v>
      </c>
      <c r="H69" s="41">
        <f>H26</f>
        <v>0</v>
      </c>
      <c r="I69" s="41">
        <f>I26</f>
        <v>205.68199999999999</v>
      </c>
      <c r="J69" s="41">
        <f>J26</f>
        <v>1555.394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2465.5063999999998</v>
      </c>
      <c r="G79" s="42">
        <f>G80</f>
        <v>0</v>
      </c>
      <c r="H79" s="42">
        <f>H80</f>
        <v>0</v>
      </c>
      <c r="I79" s="42">
        <f>I80</f>
        <v>287.95479999999998</v>
      </c>
      <c r="J79" s="42">
        <f>J80</f>
        <v>2177.5515999999998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2465.5063999999998</v>
      </c>
      <c r="G80" s="42">
        <v>0</v>
      </c>
      <c r="H80" s="42">
        <v>0</v>
      </c>
      <c r="I80" s="41">
        <f>I69*1.4</f>
        <v>287.95479999999998</v>
      </c>
      <c r="J80" s="41">
        <f>J69*1.4</f>
        <v>2177.5515999999998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F8" sqref="F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67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1612.403</v>
      </c>
      <c r="G15" s="40">
        <f>G18</f>
        <v>1225.614</v>
      </c>
      <c r="H15" s="40">
        <f>H18</f>
        <v>0</v>
      </c>
      <c r="I15" s="40">
        <f>I18</f>
        <v>386.78899999999999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1612.403</v>
      </c>
      <c r="G18" s="40">
        <v>1225.614</v>
      </c>
      <c r="H18" s="40">
        <v>0</v>
      </c>
      <c r="I18" s="40">
        <v>386.78899999999999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2617.0596999999998</v>
      </c>
      <c r="G19" s="40"/>
      <c r="H19" s="40"/>
      <c r="I19" s="40">
        <f>I20</f>
        <v>1225.614</v>
      </c>
      <c r="J19" s="40">
        <f>J22</f>
        <v>1391.4457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1225.614</v>
      </c>
      <c r="G20" s="40"/>
      <c r="H20" s="40"/>
      <c r="I20" s="40">
        <f>G18</f>
        <v>1225.614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1391.4457</v>
      </c>
      <c r="G22" s="40"/>
      <c r="H22" s="40"/>
      <c r="I22" s="40"/>
      <c r="J22" s="40">
        <f>J26+J33</f>
        <v>1391.4457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1611.5319999999999</v>
      </c>
      <c r="G24" s="40">
        <v>0</v>
      </c>
      <c r="H24" s="40">
        <v>0</v>
      </c>
      <c r="I24" s="40">
        <f>I26</f>
        <v>220.696</v>
      </c>
      <c r="J24" s="40">
        <f>J26</f>
        <v>1390.836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1611.5319999999999</v>
      </c>
      <c r="G26" s="40">
        <v>0</v>
      </c>
      <c r="H26" s="40">
        <v>0</v>
      </c>
      <c r="I26" s="40">
        <v>220.696</v>
      </c>
      <c r="J26" s="40">
        <v>1390.836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2617.0596999999998</v>
      </c>
      <c r="G29" s="40">
        <f>G18</f>
        <v>1225.614</v>
      </c>
      <c r="H29" s="40"/>
      <c r="I29" s="40">
        <f>J19</f>
        <v>1391.4457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0.87100000000009459</v>
      </c>
      <c r="G33" s="40">
        <v>0</v>
      </c>
      <c r="H33" s="40">
        <v>0</v>
      </c>
      <c r="I33" s="40">
        <f>(F15-F24)*0.3</f>
        <v>0.26130000000002834</v>
      </c>
      <c r="J33" s="40">
        <f>F15-F24-I33</f>
        <v>0.6097000000000663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4.03</v>
      </c>
      <c r="G37" s="40">
        <f>G40</f>
        <v>3.1796700000000002</v>
      </c>
      <c r="H37" s="40">
        <v>0</v>
      </c>
      <c r="I37" s="40">
        <f>I40</f>
        <v>0.85033000000000003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4.03</v>
      </c>
      <c r="G40" s="40">
        <f>4.03-I40</f>
        <v>3.1796700000000002</v>
      </c>
      <c r="H40" s="40">
        <v>0</v>
      </c>
      <c r="I40" s="40">
        <f>4.03*0.211</f>
        <v>0.85033000000000003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6.2810700000000006</v>
      </c>
      <c r="G41" s="40"/>
      <c r="H41" s="40"/>
      <c r="I41" s="40">
        <f>I42</f>
        <v>3.1796700000000002</v>
      </c>
      <c r="J41" s="40">
        <f>J44</f>
        <v>3.1014000000000004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3.1796700000000002</v>
      </c>
      <c r="G42" s="40"/>
      <c r="H42" s="40"/>
      <c r="I42" s="40">
        <f>G40</f>
        <v>3.1796700000000002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3.1014000000000004</v>
      </c>
      <c r="G44" s="40"/>
      <c r="H44" s="40"/>
      <c r="I44" s="40"/>
      <c r="J44" s="40">
        <f>J48+J55</f>
        <v>3.1014000000000004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</v>
      </c>
      <c r="G46" s="40">
        <v>0</v>
      </c>
      <c r="H46" s="40">
        <v>0</v>
      </c>
      <c r="I46" s="40">
        <f>I48</f>
        <v>0.91959999999999997</v>
      </c>
      <c r="J46" s="40">
        <f>J48</f>
        <v>3.0804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</v>
      </c>
      <c r="G48" s="40">
        <v>0</v>
      </c>
      <c r="H48" s="40">
        <v>0</v>
      </c>
      <c r="I48" s="40">
        <f>4*0.2299</f>
        <v>0.91959999999999997</v>
      </c>
      <c r="J48" s="40">
        <f>4-I48</f>
        <v>3.0804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6.2810700000000006</v>
      </c>
      <c r="G51" s="40">
        <f>I42</f>
        <v>3.1796700000000002</v>
      </c>
      <c r="H51" s="40"/>
      <c r="I51" s="40">
        <f>J44</f>
        <v>3.1014000000000004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3.0000000000000249E-2</v>
      </c>
      <c r="G55" s="40">
        <v>0</v>
      </c>
      <c r="H55" s="40">
        <v>0</v>
      </c>
      <c r="I55" s="40">
        <f>(F37-F46)*0.3</f>
        <v>9.0000000000000739E-3</v>
      </c>
      <c r="J55" s="40">
        <f>F37-F46-I55</f>
        <v>2.1000000000000175E-2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</v>
      </c>
      <c r="G59" s="40"/>
      <c r="H59" s="40"/>
      <c r="I59" s="40">
        <f>I48</f>
        <v>0.91959999999999997</v>
      </c>
      <c r="J59" s="40">
        <f>J48</f>
        <v>3.0804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1611.5319999999999</v>
      </c>
      <c r="G68" s="41">
        <f>G69</f>
        <v>0</v>
      </c>
      <c r="H68" s="41">
        <f>H69</f>
        <v>0</v>
      </c>
      <c r="I68" s="41">
        <f>I69</f>
        <v>220.696</v>
      </c>
      <c r="J68" s="41">
        <f>J69</f>
        <v>1390.836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1611.5319999999999</v>
      </c>
      <c r="G69" s="41">
        <f>G26</f>
        <v>0</v>
      </c>
      <c r="H69" s="41">
        <f>H26</f>
        <v>0</v>
      </c>
      <c r="I69" s="41">
        <f>I26</f>
        <v>220.696</v>
      </c>
      <c r="J69" s="41">
        <f>J26</f>
        <v>1390.836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5" t="s">
        <v>53</v>
      </c>
      <c r="E73" s="45"/>
      <c r="F73" s="45"/>
      <c r="G73" s="45"/>
      <c r="H73" s="45"/>
      <c r="I73" s="45"/>
      <c r="J73" s="45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2256.1448</v>
      </c>
      <c r="G79" s="42">
        <f>G80</f>
        <v>0</v>
      </c>
      <c r="H79" s="42">
        <f>H80</f>
        <v>0</v>
      </c>
      <c r="I79" s="42">
        <f>I80</f>
        <v>308.9744</v>
      </c>
      <c r="J79" s="42">
        <f>J80</f>
        <v>1947.1704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2256.1448</v>
      </c>
      <c r="G80" s="42">
        <v>0</v>
      </c>
      <c r="H80" s="42">
        <v>0</v>
      </c>
      <c r="I80" s="41">
        <f>I69*1.4</f>
        <v>308.9744</v>
      </c>
      <c r="J80" s="41">
        <f>J69*1.4</f>
        <v>1947.1704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2"/>
  <sheetViews>
    <sheetView view="pageBreakPreview" topLeftCell="C37" zoomScaleNormal="100" zoomScaleSheetLayoutView="100" workbookViewId="0">
      <selection activeCell="I26" sqref="I2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56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7" t="s">
        <v>22</v>
      </c>
      <c r="E14" s="47"/>
      <c r="F14" s="47"/>
      <c r="G14" s="47"/>
      <c r="H14" s="47"/>
      <c r="I14" s="47"/>
      <c r="J14" s="47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5313.9960000000001</v>
      </c>
      <c r="G15" s="23">
        <f>G18</f>
        <v>4046.3820000000001</v>
      </c>
      <c r="H15" s="23">
        <v>0</v>
      </c>
      <c r="I15" s="23">
        <f>I18</f>
        <v>1267.614</v>
      </c>
      <c r="J15" s="23">
        <f>J18</f>
        <v>0</v>
      </c>
      <c r="K15" s="19"/>
    </row>
    <row r="16" spans="1:17" s="17" customFormat="1" ht="15" customHeigh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ht="15" customHeigh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25">
      <c r="C18" s="18"/>
      <c r="D18" s="20" t="s">
        <v>26</v>
      </c>
      <c r="E18" s="21">
        <v>40</v>
      </c>
      <c r="F18" s="22">
        <f t="shared" si="0"/>
        <v>5313.9960000000001</v>
      </c>
      <c r="G18" s="23">
        <f>апрель!G18+май!G18+июнь!G18</f>
        <v>4046.3820000000001</v>
      </c>
      <c r="H18" s="23">
        <f>апрель!H18+май!H18+июнь!H18</f>
        <v>0</v>
      </c>
      <c r="I18" s="23">
        <f>апрель!I18+май!I18+июнь!I18</f>
        <v>1267.614</v>
      </c>
      <c r="J18" s="23">
        <f>апрель!J18+май!J18+июнь!J18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8736.2118000000009</v>
      </c>
      <c r="G19" s="23"/>
      <c r="H19" s="23"/>
      <c r="I19" s="23">
        <f>I20</f>
        <v>4046.3820000000001</v>
      </c>
      <c r="J19" s="23">
        <f>J22</f>
        <v>4689.8298000000004</v>
      </c>
      <c r="K19" s="19"/>
    </row>
    <row r="20" spans="3:11" s="17" customFormat="1" ht="15" customHeight="1" x14ac:dyDescent="0.25">
      <c r="C20" s="18"/>
      <c r="D20" s="20" t="s">
        <v>18</v>
      </c>
      <c r="E20" s="21">
        <v>60</v>
      </c>
      <c r="F20" s="22">
        <f t="shared" si="0"/>
        <v>4046.3820000000001</v>
      </c>
      <c r="G20" s="23"/>
      <c r="H20" s="23"/>
      <c r="I20" s="23">
        <f>G18</f>
        <v>4046.3820000000001</v>
      </c>
      <c r="J20" s="23"/>
      <c r="K20" s="19"/>
    </row>
    <row r="21" spans="3:11" s="17" customFormat="1" ht="15" customHeigh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25">
      <c r="C22" s="18"/>
      <c r="D22" s="20" t="s">
        <v>20</v>
      </c>
      <c r="E22" s="21">
        <v>80</v>
      </c>
      <c r="F22" s="22">
        <f t="shared" si="0"/>
        <v>4689.8298000000004</v>
      </c>
      <c r="G22" s="23"/>
      <c r="H22" s="23"/>
      <c r="I22" s="23"/>
      <c r="J22" s="23">
        <f>J26+J33</f>
        <v>4689.8298000000004</v>
      </c>
      <c r="K22" s="19"/>
    </row>
    <row r="23" spans="3:11" s="17" customFormat="1" ht="15" customHeigh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25">
      <c r="C24" s="18"/>
      <c r="D24" s="20" t="s">
        <v>29</v>
      </c>
      <c r="E24" s="21">
        <v>100</v>
      </c>
      <c r="F24" s="22">
        <f t="shared" si="0"/>
        <v>5332.6020000000008</v>
      </c>
      <c r="G24" s="23">
        <f t="shared" ref="G24:H24" si="1">G26</f>
        <v>0</v>
      </c>
      <c r="H24" s="23">
        <f t="shared" si="1"/>
        <v>0</v>
      </c>
      <c r="I24" s="23">
        <f>I26</f>
        <v>629.74800000000005</v>
      </c>
      <c r="J24" s="23">
        <f>J26</f>
        <v>4702.8540000000003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ht="15" customHeight="1" x14ac:dyDescent="0.25">
      <c r="C26" s="18"/>
      <c r="D26" s="20" t="s">
        <v>31</v>
      </c>
      <c r="E26" s="21">
        <v>120</v>
      </c>
      <c r="F26" s="22">
        <f t="shared" si="0"/>
        <v>5332.6020000000008</v>
      </c>
      <c r="G26" s="23">
        <f>апрель!G26+май!G26+июнь!G26</f>
        <v>0</v>
      </c>
      <c r="H26" s="23">
        <f>апрель!H26+май!H26+июнь!H26</f>
        <v>0</v>
      </c>
      <c r="I26" s="23">
        <f>апрель!I26+май!I26+июнь!I26</f>
        <v>629.74800000000005</v>
      </c>
      <c r="J26" s="23">
        <f>апрель!J26+май!J26+июнь!J26</f>
        <v>4702.8540000000003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ht="15" customHeigh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25">
      <c r="C29" s="18"/>
      <c r="D29" s="20" t="s">
        <v>34</v>
      </c>
      <c r="E29" s="21">
        <v>150</v>
      </c>
      <c r="F29" s="22">
        <f t="shared" si="0"/>
        <v>8736.2118000000009</v>
      </c>
      <c r="G29" s="23">
        <f>G18</f>
        <v>4046.3820000000001</v>
      </c>
      <c r="H29" s="23"/>
      <c r="I29" s="23">
        <f>J19</f>
        <v>4689.8298000000004</v>
      </c>
      <c r="J29" s="23"/>
      <c r="K29" s="19"/>
    </row>
    <row r="30" spans="3:11" s="17" customFormat="1" ht="15" customHeigh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25">
      <c r="C33" s="18"/>
      <c r="D33" s="20" t="s">
        <v>38</v>
      </c>
      <c r="E33" s="21">
        <v>190</v>
      </c>
      <c r="F33" s="22">
        <f t="shared" si="0"/>
        <v>-18.605999999999995</v>
      </c>
      <c r="G33" s="23">
        <f>апрель!G33+май!G33+июнь!G33</f>
        <v>0</v>
      </c>
      <c r="H33" s="23">
        <f>апрель!H33+май!H33+июнь!H33</f>
        <v>0</v>
      </c>
      <c r="I33" s="23">
        <f>апрель!I33+май!I33+июнь!I33</f>
        <v>-5.5817999999999977</v>
      </c>
      <c r="J33" s="23">
        <f>апрель!J33+май!J33+июнь!J33</f>
        <v>-13.024199999999995</v>
      </c>
      <c r="K33" s="19"/>
    </row>
    <row r="34" spans="3:11" s="17" customFormat="1" ht="15" customHeigh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ht="15" customHeigh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 x14ac:dyDescent="0.25">
      <c r="C36" s="18"/>
      <c r="D36" s="47" t="s">
        <v>41</v>
      </c>
      <c r="E36" s="47"/>
      <c r="F36" s="47"/>
      <c r="G36" s="47"/>
      <c r="H36" s="47"/>
      <c r="I36" s="47"/>
      <c r="J36" s="47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4.2046666666666663</v>
      </c>
      <c r="G37" s="23">
        <f>G40</f>
        <v>3.317482</v>
      </c>
      <c r="H37" s="23">
        <f t="shared" ref="H37:J37" si="2">H40</f>
        <v>0</v>
      </c>
      <c r="I37" s="23">
        <f t="shared" si="2"/>
        <v>0.88718466666666662</v>
      </c>
      <c r="J37" s="23">
        <f t="shared" si="2"/>
        <v>0</v>
      </c>
      <c r="K37" s="19"/>
    </row>
    <row r="38" spans="3:11" s="17" customFormat="1" ht="15" customHeigh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 x14ac:dyDescent="0.25">
      <c r="C40" s="18"/>
      <c r="D40" s="20" t="s">
        <v>26</v>
      </c>
      <c r="E40" s="21">
        <v>330</v>
      </c>
      <c r="F40" s="22">
        <f t="shared" si="0"/>
        <v>4.2046666666666663</v>
      </c>
      <c r="G40" s="23">
        <f>(апрель!G40+май!G40+июнь!G40)/3</f>
        <v>3.317482</v>
      </c>
      <c r="H40" s="23">
        <f>(апрель!H40+май!H40+июнь!H40)/3</f>
        <v>0</v>
      </c>
      <c r="I40" s="23">
        <f>(апрель!I40+май!I40+июнь!I40)/3</f>
        <v>0.88718466666666662</v>
      </c>
      <c r="J40" s="23">
        <f>(апрель!J40+май!J40+июнь!J40)/3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6.5506028199999999</v>
      </c>
      <c r="G41" s="23"/>
      <c r="H41" s="23"/>
      <c r="I41" s="23">
        <f>I42</f>
        <v>3.317482</v>
      </c>
      <c r="J41" s="23">
        <f>J44</f>
        <v>3.2331208199999999</v>
      </c>
      <c r="K41" s="19"/>
    </row>
    <row r="42" spans="3:11" s="17" customFormat="1" ht="15" customHeight="1" x14ac:dyDescent="0.25">
      <c r="C42" s="18"/>
      <c r="D42" s="20" t="s">
        <v>18</v>
      </c>
      <c r="E42" s="21">
        <v>350</v>
      </c>
      <c r="F42" s="22">
        <f t="shared" si="0"/>
        <v>3.317482</v>
      </c>
      <c r="G42" s="23"/>
      <c r="H42" s="23"/>
      <c r="I42" s="23">
        <f>G40</f>
        <v>3.317482</v>
      </c>
      <c r="J42" s="23"/>
      <c r="K42" s="19"/>
    </row>
    <row r="43" spans="3:11" s="17" customFormat="1" ht="15" customHeigh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25">
      <c r="C44" s="18"/>
      <c r="D44" s="20" t="s">
        <v>20</v>
      </c>
      <c r="E44" s="21">
        <v>370</v>
      </c>
      <c r="F44" s="22">
        <f t="shared" si="0"/>
        <v>3.2331208199999999</v>
      </c>
      <c r="G44" s="23"/>
      <c r="H44" s="23"/>
      <c r="I44" s="23"/>
      <c r="J44" s="23">
        <f>J48+J55</f>
        <v>3.2331208199999999</v>
      </c>
      <c r="K44" s="19"/>
    </row>
    <row r="45" spans="3:11" s="17" customFormat="1" ht="15" customHeigh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25">
      <c r="C46" s="18"/>
      <c r="D46" s="20" t="s">
        <v>29</v>
      </c>
      <c r="E46" s="21">
        <v>390</v>
      </c>
      <c r="F46" s="22">
        <f t="shared" si="0"/>
        <v>4.1348666666666665</v>
      </c>
      <c r="G46" s="23">
        <f t="shared" ref="G46:H46" si="3">G48</f>
        <v>0</v>
      </c>
      <c r="H46" s="23">
        <f t="shared" si="3"/>
        <v>0</v>
      </c>
      <c r="I46" s="23">
        <f>I48</f>
        <v>0.95060584666666659</v>
      </c>
      <c r="J46" s="23">
        <f>J48</f>
        <v>3.18426082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ht="15" customHeight="1" x14ac:dyDescent="0.25">
      <c r="C48" s="18"/>
      <c r="D48" s="20" t="s">
        <v>31</v>
      </c>
      <c r="E48" s="21">
        <v>410</v>
      </c>
      <c r="F48" s="22">
        <f t="shared" si="0"/>
        <v>4.1348666666666665</v>
      </c>
      <c r="G48" s="23">
        <f>(апрель!G48+май!G48+июнь!G48)/3</f>
        <v>0</v>
      </c>
      <c r="H48" s="23">
        <f>(апрель!H48+май!H48+июнь!H48)/3</f>
        <v>0</v>
      </c>
      <c r="I48" s="23">
        <f>(апрель!I48+май!I48+июнь!I48)/3</f>
        <v>0.95060584666666659</v>
      </c>
      <c r="J48" s="23">
        <f>(апрель!J48+май!J48+июнь!J48)/3</f>
        <v>3.18426082</v>
      </c>
      <c r="K48" s="19"/>
    </row>
    <row r="49" spans="3:11" s="17" customFormat="1" ht="15" customHeigh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ht="15" customHeigh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25">
      <c r="C51" s="18"/>
      <c r="D51" s="20" t="s">
        <v>34</v>
      </c>
      <c r="E51" s="21">
        <v>440</v>
      </c>
      <c r="F51" s="22">
        <f t="shared" si="0"/>
        <v>6.5506028199999999</v>
      </c>
      <c r="G51" s="23">
        <f>I42</f>
        <v>3.317482</v>
      </c>
      <c r="H51" s="23"/>
      <c r="I51" s="23">
        <f>J44</f>
        <v>3.2331208199999999</v>
      </c>
      <c r="J51" s="23"/>
      <c r="K51" s="19"/>
    </row>
    <row r="52" spans="3:11" s="17" customFormat="1" ht="15" customHeigh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25">
      <c r="C55" s="18"/>
      <c r="D55" s="20" t="s">
        <v>38</v>
      </c>
      <c r="E55" s="21">
        <v>480</v>
      </c>
      <c r="F55" s="22">
        <f t="shared" si="0"/>
        <v>6.9799999999999862E-2</v>
      </c>
      <c r="G55" s="23">
        <f>(апрель!G55+май!G55+июнь!G55)/3</f>
        <v>0</v>
      </c>
      <c r="H55" s="23">
        <f>(апрель!H55+май!H55+июнь!H55)/3</f>
        <v>0</v>
      </c>
      <c r="I55" s="23">
        <f>(апрель!I55+май!I55+июнь!I55)/3</f>
        <v>2.0939999999999959E-2</v>
      </c>
      <c r="J55" s="23">
        <f>(апрель!J55+май!J55+июнь!J55)/3</f>
        <v>4.885999999999991E-2</v>
      </c>
      <c r="K55" s="19"/>
    </row>
    <row r="56" spans="3:11" s="17" customFormat="1" ht="15" customHeigh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ht="15" customHeigh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25">
      <c r="C58" s="18"/>
      <c r="D58" s="47" t="s">
        <v>41</v>
      </c>
      <c r="E58" s="47"/>
      <c r="F58" s="47"/>
      <c r="G58" s="47"/>
      <c r="H58" s="47"/>
      <c r="I58" s="47"/>
      <c r="J58" s="47"/>
      <c r="K58" s="19"/>
    </row>
    <row r="59" spans="3:11" s="17" customFormat="1" ht="15" customHeigh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ht="15" customHeigh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25">
      <c r="C62" s="18"/>
      <c r="D62" s="47" t="s">
        <v>46</v>
      </c>
      <c r="E62" s="47"/>
      <c r="F62" s="47"/>
      <c r="G62" s="47"/>
      <c r="H62" s="47"/>
      <c r="I62" s="47"/>
      <c r="J62" s="47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ht="15" customHeight="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ht="15" customHeight="1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ht="15" customHeight="1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ht="15" customHeight="1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5332.6020000000008</v>
      </c>
      <c r="G68" s="23">
        <f>апрель!G68+май!G68+июнь!G68</f>
        <v>0</v>
      </c>
      <c r="H68" s="23">
        <f>апрель!H68+май!H68+июнь!H68</f>
        <v>0</v>
      </c>
      <c r="I68" s="23">
        <f>апрель!I68+май!I68+июнь!I68</f>
        <v>629.74800000000005</v>
      </c>
      <c r="J68" s="23">
        <f>апрель!J68+май!J68+июнь!J68</f>
        <v>4702.8540000000003</v>
      </c>
      <c r="K68" s="14"/>
    </row>
    <row r="69" spans="3:12" ht="15" customHeight="1" x14ac:dyDescent="0.25">
      <c r="C69" s="5"/>
      <c r="D69" s="20" t="s">
        <v>48</v>
      </c>
      <c r="E69" s="21">
        <v>760</v>
      </c>
      <c r="F69" s="22">
        <f t="shared" si="0"/>
        <v>5332.6020000000008</v>
      </c>
      <c r="G69" s="23">
        <f>апрель!G69+май!G69+июнь!G69</f>
        <v>0</v>
      </c>
      <c r="H69" s="23">
        <f>апрель!H69+май!H69+июнь!H69</f>
        <v>0</v>
      </c>
      <c r="I69" s="23">
        <f>апрель!I69+май!I69+июнь!I69</f>
        <v>629.74800000000005</v>
      </c>
      <c r="J69" s="23">
        <f>апрель!J69+май!J69+июнь!J69</f>
        <v>4702.8540000000003</v>
      </c>
      <c r="K69" s="14"/>
    </row>
    <row r="70" spans="3:12" ht="15" customHeight="1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ht="15" customHeight="1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ht="15" customHeight="1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ht="15" customHeight="1" x14ac:dyDescent="0.25">
      <c r="C73" s="5"/>
      <c r="D73" s="47" t="s">
        <v>53</v>
      </c>
      <c r="E73" s="47"/>
      <c r="F73" s="47"/>
      <c r="G73" s="47"/>
      <c r="H73" s="47"/>
      <c r="I73" s="47"/>
      <c r="J73" s="47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ht="15" customHeight="1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ht="15" customHeight="1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ht="15" customHeight="1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ht="15" customHeight="1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7465.6427999999996</v>
      </c>
      <c r="G79" s="23">
        <f>апрель!G79+май!G79+июнь!G79</f>
        <v>0</v>
      </c>
      <c r="H79" s="23">
        <f>апрель!H79+май!H79+июнь!H79</f>
        <v>0</v>
      </c>
      <c r="I79" s="23">
        <f>апрель!I79+май!I79+июнь!I79</f>
        <v>881.64719999999988</v>
      </c>
      <c r="J79" s="23">
        <f>апрель!J79+май!J79+июнь!J79</f>
        <v>6583.9955999999993</v>
      </c>
      <c r="K79" s="26"/>
      <c r="L79" s="27"/>
    </row>
    <row r="80" spans="3:12" ht="15" customHeight="1" x14ac:dyDescent="0.25">
      <c r="C80" s="5"/>
      <c r="D80" s="20" t="s">
        <v>48</v>
      </c>
      <c r="E80" s="21">
        <v>860</v>
      </c>
      <c r="F80" s="22">
        <f t="shared" ref="F80:F86" si="4">SUM(G80:J80)</f>
        <v>7465.6427999999996</v>
      </c>
      <c r="G80" s="23">
        <f>апрель!G80+май!G80+июнь!G80</f>
        <v>0</v>
      </c>
      <c r="H80" s="23">
        <f>апрель!H80+май!H80+июнь!H80</f>
        <v>0</v>
      </c>
      <c r="I80" s="23">
        <f>апрель!I80+май!I80+июнь!I80</f>
        <v>881.64719999999988</v>
      </c>
      <c r="J80" s="23">
        <f>апрель!J80+май!J80+июнь!J80</f>
        <v>6583.9955999999993</v>
      </c>
      <c r="K80" s="26"/>
      <c r="L80" s="27"/>
    </row>
    <row r="81" spans="3:19" ht="15" customHeight="1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ht="15" customHeight="1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ht="15" customHeight="1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ht="15" customHeight="1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ht="15" customHeight="1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ht="15" customHeight="1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74:J86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63:J72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132"/>
  <sheetViews>
    <sheetView view="pageBreakPreview" topLeftCell="C7" zoomScaleNormal="100" zoomScaleSheetLayoutView="100" workbookViewId="0">
      <selection activeCell="G18" sqref="G1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61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36" t="s">
        <v>18</v>
      </c>
      <c r="H12" s="36" t="s">
        <v>19</v>
      </c>
      <c r="I12" s="36" t="s">
        <v>20</v>
      </c>
      <c r="J12" s="36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7" t="s">
        <v>22</v>
      </c>
      <c r="E14" s="47"/>
      <c r="F14" s="47"/>
      <c r="G14" s="47"/>
      <c r="H14" s="47"/>
      <c r="I14" s="47"/>
      <c r="J14" s="47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13048.692999999999</v>
      </c>
      <c r="G15" s="23">
        <f>G18</f>
        <v>9949.6779999999999</v>
      </c>
      <c r="H15" s="23">
        <v>0</v>
      </c>
      <c r="I15" s="23">
        <f>I18</f>
        <v>3099.0150000000003</v>
      </c>
      <c r="J15" s="23">
        <f>J18</f>
        <v>0</v>
      </c>
      <c r="K15" s="19"/>
    </row>
    <row r="16" spans="1:17" s="17" customFormat="1" ht="15" customHeigh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ht="15" customHeigh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25">
      <c r="C18" s="18"/>
      <c r="D18" s="20" t="s">
        <v>26</v>
      </c>
      <c r="E18" s="21">
        <v>40</v>
      </c>
      <c r="F18" s="22">
        <f t="shared" si="0"/>
        <v>13048.692999999999</v>
      </c>
      <c r="G18" s="23">
        <f>'1квартал'!G18+'2квартал'!G18</f>
        <v>9949.6779999999999</v>
      </c>
      <c r="H18" s="23">
        <f>'1квартал'!H18+'2квартал'!H18</f>
        <v>0</v>
      </c>
      <c r="I18" s="23">
        <f>'1квартал'!I18+'2квартал'!I18</f>
        <v>3099.0150000000003</v>
      </c>
      <c r="J18" s="23">
        <f>'1квартал'!J18+'2квартал'!J18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21444.268100000001</v>
      </c>
      <c r="G19" s="23"/>
      <c r="H19" s="23"/>
      <c r="I19" s="23">
        <f>I20</f>
        <v>9949.6779999999999</v>
      </c>
      <c r="J19" s="23">
        <f>J22</f>
        <v>11494.590100000001</v>
      </c>
      <c r="K19" s="19"/>
    </row>
    <row r="20" spans="3:11" s="17" customFormat="1" ht="15" customHeight="1" x14ac:dyDescent="0.25">
      <c r="C20" s="18"/>
      <c r="D20" s="20" t="s">
        <v>18</v>
      </c>
      <c r="E20" s="21">
        <v>60</v>
      </c>
      <c r="F20" s="22">
        <f t="shared" si="0"/>
        <v>9949.6779999999999</v>
      </c>
      <c r="G20" s="23"/>
      <c r="H20" s="23"/>
      <c r="I20" s="23">
        <f>G18</f>
        <v>9949.6779999999999</v>
      </c>
      <c r="J20" s="23"/>
      <c r="K20" s="19"/>
    </row>
    <row r="21" spans="3:11" s="17" customFormat="1" ht="15" customHeigh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25">
      <c r="C22" s="18"/>
      <c r="D22" s="20" t="s">
        <v>20</v>
      </c>
      <c r="E22" s="21">
        <v>80</v>
      </c>
      <c r="F22" s="22">
        <f t="shared" si="0"/>
        <v>11494.590100000001</v>
      </c>
      <c r="G22" s="23"/>
      <c r="H22" s="23"/>
      <c r="I22" s="23"/>
      <c r="J22" s="23">
        <f>J26+J33</f>
        <v>11494.590100000001</v>
      </c>
      <c r="K22" s="19"/>
    </row>
    <row r="23" spans="3:11" s="17" customFormat="1" ht="15" customHeigh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25">
      <c r="C24" s="18"/>
      <c r="D24" s="20" t="s">
        <v>29</v>
      </c>
      <c r="E24" s="21">
        <v>100</v>
      </c>
      <c r="F24" s="22">
        <f t="shared" si="0"/>
        <v>13131.100000000002</v>
      </c>
      <c r="G24" s="23">
        <f t="shared" ref="G24:H24" si="1">G26</f>
        <v>0</v>
      </c>
      <c r="H24" s="23">
        <f t="shared" si="1"/>
        <v>0</v>
      </c>
      <c r="I24" s="23">
        <f>I26</f>
        <v>1578.825</v>
      </c>
      <c r="J24" s="23">
        <f>J26</f>
        <v>11552.275000000001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ht="15" customHeight="1" x14ac:dyDescent="0.25">
      <c r="C26" s="18"/>
      <c r="D26" s="20" t="s">
        <v>31</v>
      </c>
      <c r="E26" s="21">
        <v>120</v>
      </c>
      <c r="F26" s="22">
        <f t="shared" si="0"/>
        <v>13131.100000000002</v>
      </c>
      <c r="G26" s="23">
        <f>'1квартал'!G26+'2квартал'!G26</f>
        <v>0</v>
      </c>
      <c r="H26" s="23">
        <f>'1квартал'!H26+'2квартал'!H26</f>
        <v>0</v>
      </c>
      <c r="I26" s="23">
        <f>'1квартал'!I26+'2квартал'!I26</f>
        <v>1578.825</v>
      </c>
      <c r="J26" s="23">
        <f>'1квартал'!J26+'2квартал'!J26</f>
        <v>11552.275000000001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ht="15" customHeigh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25">
      <c r="C29" s="18"/>
      <c r="D29" s="20" t="s">
        <v>34</v>
      </c>
      <c r="E29" s="21">
        <v>150</v>
      </c>
      <c r="F29" s="22">
        <f t="shared" si="0"/>
        <v>21444.268100000001</v>
      </c>
      <c r="G29" s="23">
        <f>G18</f>
        <v>9949.6779999999999</v>
      </c>
      <c r="H29" s="23"/>
      <c r="I29" s="23">
        <f>J19</f>
        <v>11494.590100000001</v>
      </c>
      <c r="J29" s="23"/>
      <c r="K29" s="19"/>
    </row>
    <row r="30" spans="3:11" s="17" customFormat="1" ht="15" customHeigh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25">
      <c r="C33" s="18"/>
      <c r="D33" s="20" t="s">
        <v>38</v>
      </c>
      <c r="E33" s="21">
        <v>190</v>
      </c>
      <c r="F33" s="22">
        <f t="shared" si="0"/>
        <v>-82.407000000000394</v>
      </c>
      <c r="G33" s="23">
        <f>'1квартал'!G33+'2квартал'!G33</f>
        <v>0</v>
      </c>
      <c r="H33" s="23">
        <f>'1квартал'!H33+'2квартал'!H33</f>
        <v>0</v>
      </c>
      <c r="I33" s="23">
        <f>'1квартал'!I33+'2квартал'!I33</f>
        <v>-24.722100000000115</v>
      </c>
      <c r="J33" s="23">
        <f>'1квартал'!J33+'2квартал'!J33</f>
        <v>-57.684900000000283</v>
      </c>
      <c r="K33" s="19"/>
    </row>
    <row r="34" spans="3:11" s="17" customFormat="1" ht="15" customHeigh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ht="15" customHeigh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 x14ac:dyDescent="0.25">
      <c r="C36" s="18"/>
      <c r="D36" s="47" t="s">
        <v>41</v>
      </c>
      <c r="E36" s="47"/>
      <c r="F36" s="47"/>
      <c r="G36" s="47"/>
      <c r="H36" s="47"/>
      <c r="I36" s="47"/>
      <c r="J36" s="47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4.5301833333333335</v>
      </c>
      <c r="G37" s="23">
        <f>G40</f>
        <v>3.5743146499999998</v>
      </c>
      <c r="H37" s="23">
        <f t="shared" ref="H37:J37" si="2">H40</f>
        <v>0</v>
      </c>
      <c r="I37" s="23">
        <f t="shared" si="2"/>
        <v>0.95586868333333319</v>
      </c>
      <c r="J37" s="23">
        <f t="shared" si="2"/>
        <v>0</v>
      </c>
      <c r="K37" s="19"/>
    </row>
    <row r="38" spans="3:11" s="17" customFormat="1" ht="15" customHeigh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 x14ac:dyDescent="0.25">
      <c r="C40" s="18"/>
      <c r="D40" s="20" t="s">
        <v>26</v>
      </c>
      <c r="E40" s="21">
        <v>330</v>
      </c>
      <c r="F40" s="22">
        <f t="shared" si="0"/>
        <v>4.5301833333333335</v>
      </c>
      <c r="G40" s="23">
        <f>('1квартал'!G40+'2квартал'!G40)/2</f>
        <v>3.5743146499999998</v>
      </c>
      <c r="H40" s="23">
        <f>('1квартал'!H40+'2квартал'!H40)/2</f>
        <v>0</v>
      </c>
      <c r="I40" s="23">
        <f>('1квартал'!I40+'2квартал'!I40)/2</f>
        <v>0.95586868333333319</v>
      </c>
      <c r="J40" s="23">
        <f>('1квартал'!J40+'2квартал'!J40)/2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7.0525767866666662</v>
      </c>
      <c r="G41" s="23"/>
      <c r="H41" s="23"/>
      <c r="I41" s="23">
        <f>I42</f>
        <v>3.5743146499999998</v>
      </c>
      <c r="J41" s="23">
        <f>J44</f>
        <v>3.4782621366666668</v>
      </c>
      <c r="K41" s="19"/>
    </row>
    <row r="42" spans="3:11" s="17" customFormat="1" ht="15" customHeight="1" x14ac:dyDescent="0.25">
      <c r="C42" s="18"/>
      <c r="D42" s="20" t="s">
        <v>18</v>
      </c>
      <c r="E42" s="21">
        <v>350</v>
      </c>
      <c r="F42" s="22">
        <f t="shared" si="0"/>
        <v>3.5743146499999998</v>
      </c>
      <c r="G42" s="23"/>
      <c r="H42" s="23"/>
      <c r="I42" s="23">
        <f>G40</f>
        <v>3.5743146499999998</v>
      </c>
      <c r="J42" s="23"/>
      <c r="K42" s="19"/>
    </row>
    <row r="43" spans="3:11" s="17" customFormat="1" ht="15" customHeigh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25">
      <c r="C44" s="18"/>
      <c r="D44" s="20" t="s">
        <v>20</v>
      </c>
      <c r="E44" s="21">
        <v>370</v>
      </c>
      <c r="F44" s="22">
        <f t="shared" si="0"/>
        <v>3.4782621366666668</v>
      </c>
      <c r="G44" s="23"/>
      <c r="H44" s="23"/>
      <c r="I44" s="23"/>
      <c r="J44" s="23">
        <f>J48+J55</f>
        <v>3.4782621366666668</v>
      </c>
      <c r="K44" s="19"/>
    </row>
    <row r="45" spans="3:11" s="17" customFormat="1" ht="15" customHeigh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25">
      <c r="C46" s="18"/>
      <c r="D46" s="20" t="s">
        <v>29</v>
      </c>
      <c r="E46" s="21">
        <v>390</v>
      </c>
      <c r="F46" s="22">
        <f t="shared" si="0"/>
        <v>4.3813666666666666</v>
      </c>
      <c r="G46" s="23">
        <f t="shared" ref="G46:H46" si="3">G48</f>
        <v>0</v>
      </c>
      <c r="H46" s="23">
        <f t="shared" si="3"/>
        <v>0</v>
      </c>
      <c r="I46" s="23">
        <f>I48</f>
        <v>1.0072761966666668</v>
      </c>
      <c r="J46" s="23">
        <f>J48</f>
        <v>3.3740904700000001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ht="15" customHeight="1" x14ac:dyDescent="0.25">
      <c r="C48" s="18"/>
      <c r="D48" s="20" t="s">
        <v>31</v>
      </c>
      <c r="E48" s="21">
        <v>410</v>
      </c>
      <c r="F48" s="22">
        <f t="shared" si="0"/>
        <v>4.3813666666666666</v>
      </c>
      <c r="G48" s="23">
        <f>('1квартал'!G48+'2квартал'!G48)/2</f>
        <v>0</v>
      </c>
      <c r="H48" s="23">
        <f>('1квартал'!H48+'2квартал'!H48)/2</f>
        <v>0</v>
      </c>
      <c r="I48" s="23">
        <f>('1квартал'!I48+'2квартал'!I48)/2</f>
        <v>1.0072761966666668</v>
      </c>
      <c r="J48" s="23">
        <f>('1квартал'!J48+'2квартал'!J48)/2</f>
        <v>3.3740904700000001</v>
      </c>
      <c r="K48" s="19"/>
    </row>
    <row r="49" spans="3:11" s="17" customFormat="1" ht="15" customHeigh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ht="15" customHeigh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25">
      <c r="C51" s="18"/>
      <c r="D51" s="20" t="s">
        <v>34</v>
      </c>
      <c r="E51" s="21">
        <v>440</v>
      </c>
      <c r="F51" s="22">
        <f t="shared" si="0"/>
        <v>7.0525767866666662</v>
      </c>
      <c r="G51" s="23">
        <f>I42</f>
        <v>3.5743146499999998</v>
      </c>
      <c r="H51" s="23"/>
      <c r="I51" s="23">
        <f>J44</f>
        <v>3.4782621366666668</v>
      </c>
      <c r="J51" s="23"/>
      <c r="K51" s="19"/>
    </row>
    <row r="52" spans="3:11" s="17" customFormat="1" ht="15" customHeigh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25">
      <c r="C55" s="18"/>
      <c r="D55" s="20" t="s">
        <v>38</v>
      </c>
      <c r="E55" s="21">
        <v>480</v>
      </c>
      <c r="F55" s="22">
        <f t="shared" si="0"/>
        <v>0.14881666666666651</v>
      </c>
      <c r="G55" s="23">
        <f>('1квартал'!G55+'2квартал'!G55)/2</f>
        <v>0</v>
      </c>
      <c r="H55" s="23">
        <f>('1квартал'!H55+'2квартал'!H55)/2</f>
        <v>0</v>
      </c>
      <c r="I55" s="23">
        <f>('1квартал'!I55+'2квартал'!I55)/2</f>
        <v>4.4644999999999956E-2</v>
      </c>
      <c r="J55" s="23">
        <f>('1квартал'!J55+'2квартал'!J55)/2</f>
        <v>0.10417166666666657</v>
      </c>
      <c r="K55" s="19"/>
    </row>
    <row r="56" spans="3:11" s="17" customFormat="1" ht="15" customHeigh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ht="15" customHeigh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25">
      <c r="C58" s="18"/>
      <c r="D58" s="47" t="s">
        <v>41</v>
      </c>
      <c r="E58" s="47"/>
      <c r="F58" s="47"/>
      <c r="G58" s="47"/>
      <c r="H58" s="47"/>
      <c r="I58" s="47"/>
      <c r="J58" s="47"/>
      <c r="K58" s="19"/>
    </row>
    <row r="59" spans="3:11" s="17" customFormat="1" ht="15" customHeigh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ht="15" customHeigh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25">
      <c r="C62" s="18"/>
      <c r="D62" s="47" t="s">
        <v>46</v>
      </c>
      <c r="E62" s="47"/>
      <c r="F62" s="47"/>
      <c r="G62" s="47"/>
      <c r="H62" s="47"/>
      <c r="I62" s="47"/>
      <c r="J62" s="47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ht="15" customHeight="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ht="15" customHeight="1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ht="15" customHeight="1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ht="15" customHeight="1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13131.100000000002</v>
      </c>
      <c r="G68" s="23">
        <f>'1квартал'!G68+'2квартал'!G68</f>
        <v>0</v>
      </c>
      <c r="H68" s="23">
        <f>'1квартал'!H68+'2квартал'!H68</f>
        <v>0</v>
      </c>
      <c r="I68" s="23">
        <f>'1квартал'!I68+'2квартал'!I68</f>
        <v>1578.825</v>
      </c>
      <c r="J68" s="23">
        <f>'1квартал'!J68+'2квартал'!J68</f>
        <v>11552.275000000001</v>
      </c>
      <c r="K68" s="14"/>
    </row>
    <row r="69" spans="3:12" ht="15" customHeight="1" x14ac:dyDescent="0.25">
      <c r="C69" s="5"/>
      <c r="D69" s="20" t="s">
        <v>48</v>
      </c>
      <c r="E69" s="21">
        <v>760</v>
      </c>
      <c r="F69" s="22">
        <f t="shared" si="0"/>
        <v>13131.100000000002</v>
      </c>
      <c r="G69" s="23">
        <f>'1квартал'!G69+'2квартал'!G69</f>
        <v>0</v>
      </c>
      <c r="H69" s="23">
        <f>'1квартал'!H69+'2квартал'!H69</f>
        <v>0</v>
      </c>
      <c r="I69" s="23">
        <f>'1квартал'!I69+'2квартал'!I69</f>
        <v>1578.825</v>
      </c>
      <c r="J69" s="23">
        <f>'1квартал'!J69+'2квартал'!J69</f>
        <v>11552.275000000001</v>
      </c>
      <c r="K69" s="14"/>
    </row>
    <row r="70" spans="3:12" ht="15" customHeight="1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ht="15" customHeight="1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ht="15" customHeight="1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ht="15" customHeight="1" x14ac:dyDescent="0.25">
      <c r="C73" s="5"/>
      <c r="D73" s="47" t="s">
        <v>53</v>
      </c>
      <c r="E73" s="47"/>
      <c r="F73" s="47"/>
      <c r="G73" s="47"/>
      <c r="H73" s="47"/>
      <c r="I73" s="47"/>
      <c r="J73" s="47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ht="15" customHeight="1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ht="15" customHeight="1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ht="15" customHeight="1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ht="15" customHeight="1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18383.539999999997</v>
      </c>
      <c r="G79" s="23">
        <f>'1квартал'!G79+'2квартал'!G79</f>
        <v>0</v>
      </c>
      <c r="H79" s="23">
        <f>'1квартал'!H79+'2квартал'!H79</f>
        <v>0</v>
      </c>
      <c r="I79" s="23">
        <f>'1квартал'!I79+'2квартал'!I79</f>
        <v>2210.355</v>
      </c>
      <c r="J79" s="23">
        <f>'1квартал'!J79+'2квартал'!J79</f>
        <v>16173.184999999998</v>
      </c>
      <c r="K79" s="26"/>
      <c r="L79" s="27"/>
    </row>
    <row r="80" spans="3:12" ht="15" customHeight="1" x14ac:dyDescent="0.25">
      <c r="C80" s="5"/>
      <c r="D80" s="20" t="s">
        <v>48</v>
      </c>
      <c r="E80" s="21">
        <v>860</v>
      </c>
      <c r="F80" s="22">
        <f t="shared" ref="F80:F86" si="4">SUM(G80:J80)</f>
        <v>18383.539999999997</v>
      </c>
      <c r="G80" s="23">
        <f>'1квартал'!G80+'2квартал'!G80</f>
        <v>0</v>
      </c>
      <c r="H80" s="23">
        <f>'1квартал'!H80+'2квартал'!H80</f>
        <v>0</v>
      </c>
      <c r="I80" s="23">
        <f>'1квартал'!I80+'2квартал'!I80</f>
        <v>2210.355</v>
      </c>
      <c r="J80" s="23">
        <f>'1квартал'!J80+'2квартал'!J80</f>
        <v>16173.184999999998</v>
      </c>
      <c r="K80" s="26"/>
      <c r="L80" s="27"/>
    </row>
    <row r="81" spans="3:19" ht="15" customHeight="1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ht="15" customHeight="1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ht="15" customHeight="1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ht="15" customHeight="1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ht="15" customHeight="1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ht="15" customHeight="1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январь</vt:lpstr>
      <vt:lpstr>февраль</vt:lpstr>
      <vt:lpstr>март</vt:lpstr>
      <vt:lpstr>1квартал</vt:lpstr>
      <vt:lpstr>апрель</vt:lpstr>
      <vt:lpstr>май</vt:lpstr>
      <vt:lpstr>июнь</vt:lpstr>
      <vt:lpstr>2квартал</vt:lpstr>
      <vt:lpstr>1полугодие</vt:lpstr>
      <vt:lpstr>июль</vt:lpstr>
      <vt:lpstr>август</vt:lpstr>
      <vt:lpstr>сентябрь</vt:lpstr>
      <vt:lpstr>3квартал</vt:lpstr>
      <vt:lpstr>9месяцев</vt:lpstr>
      <vt:lpstr>октябрь</vt:lpstr>
      <vt:lpstr>ноябрь</vt:lpstr>
      <vt:lpstr>декабрь</vt:lpstr>
      <vt:lpstr>4квартал</vt:lpstr>
      <vt:lpstr>2017 год</vt:lpstr>
      <vt:lpstr>'1квартал'!Область_печати</vt:lpstr>
      <vt:lpstr>'1полугодие'!Область_печати</vt:lpstr>
      <vt:lpstr>'2017 год'!Область_печати</vt:lpstr>
      <vt:lpstr>'2квартал'!Область_печати</vt:lpstr>
      <vt:lpstr>'3квартал'!Область_печати</vt:lpstr>
      <vt:lpstr>'4квартал'!Область_печати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Irina Bukhmina</cp:lastModifiedBy>
  <cp:lastPrinted>2016-03-21T12:52:41Z</cp:lastPrinted>
  <dcterms:created xsi:type="dcterms:W3CDTF">2014-05-19T13:39:08Z</dcterms:created>
  <dcterms:modified xsi:type="dcterms:W3CDTF">2018-03-13T14:47:25Z</dcterms:modified>
</cp:coreProperties>
</file>