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КВ\БАЛАНСЫ\Балансы_факт\Балансы_факт_2020\"/>
    </mc:Choice>
  </mc:AlternateContent>
  <bookViews>
    <workbookView xWindow="0" yWindow="0" windowWidth="28800" windowHeight="12435" tabRatio="731" activeTab="16"/>
  </bookViews>
  <sheets>
    <sheet name="январь" sheetId="1" r:id="rId1"/>
    <sheet name="февраль" sheetId="2" r:id="rId2"/>
    <sheet name="март" sheetId="3" r:id="rId3"/>
    <sheet name="1квартал" sheetId="4" r:id="rId4"/>
    <sheet name="апрель" sheetId="5" r:id="rId5"/>
    <sheet name="май" sheetId="6" r:id="rId6"/>
    <sheet name="июнь" sheetId="7" r:id="rId7"/>
    <sheet name="2квартал" sheetId="8" r:id="rId8"/>
    <sheet name="1 пг" sheetId="9" r:id="rId9"/>
    <sheet name="июль" sheetId="10" r:id="rId10"/>
    <sheet name="август" sheetId="11" r:id="rId11"/>
    <sheet name="сентябрь" sheetId="12" r:id="rId12"/>
    <sheet name="октябрь" sheetId="13" r:id="rId13"/>
    <sheet name="ноябрь" sheetId="14" r:id="rId14"/>
    <sheet name="декабрь" sheetId="15" r:id="rId15"/>
    <sheet name="2 пг" sheetId="16" r:id="rId16"/>
    <sheet name="год2020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org">[1]Титульный!$G$15</definedName>
    <definedName name="_xlnm.Print_Area" localSheetId="8">'1 пг'!$A$2:$K$147</definedName>
    <definedName name="_xlnm.Print_Area" localSheetId="3">'1квартал'!$A$1:$K$152</definedName>
    <definedName name="_xlnm.Print_Area" localSheetId="15">'2 пг'!$A$7:$K$146</definedName>
    <definedName name="_xlnm.Print_Area" localSheetId="7">'2квартал'!$A$1:$K$152</definedName>
    <definedName name="_xlnm.Print_Area" localSheetId="10">август!$A$1:$K$152</definedName>
    <definedName name="_xlnm.Print_Area" localSheetId="4">апрель!$A$1:$K$152</definedName>
    <definedName name="_xlnm.Print_Area" localSheetId="16">год2020!$A$6:$K$146</definedName>
    <definedName name="_xlnm.Print_Area" localSheetId="14">декабрь!$A$1:$K$152</definedName>
    <definedName name="_xlnm.Print_Area" localSheetId="9">июль!$A$1:$K$152</definedName>
    <definedName name="_xlnm.Print_Area" localSheetId="6">июнь!$A$1:$K$152</definedName>
    <definedName name="_xlnm.Print_Area" localSheetId="5">май!$A$1:$K$152</definedName>
    <definedName name="_xlnm.Print_Area" localSheetId="2">март!$A$1:$K$152</definedName>
    <definedName name="_xlnm.Print_Area" localSheetId="13">ноябрь!$A$1:$K$152</definedName>
    <definedName name="_xlnm.Print_Area" localSheetId="12">октябрь!$A$1:$K$152</definedName>
    <definedName name="_xlnm.Print_Area" localSheetId="11">сентябрь!$A$1:$K$152</definedName>
    <definedName name="_xlnm.Print_Area" localSheetId="1">февраль!$A$1:$K$152</definedName>
    <definedName name="_xlnm.Print_Area" localSheetId="0">январь!$A$1:$K$152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8" i="15" l="1"/>
  <c r="G146" i="15"/>
  <c r="G145" i="15"/>
  <c r="K144" i="15"/>
  <c r="J144" i="15"/>
  <c r="G144" i="15" s="1"/>
  <c r="I144" i="15"/>
  <c r="H144" i="15"/>
  <c r="K143" i="15"/>
  <c r="K142" i="15" s="1"/>
  <c r="I142" i="15"/>
  <c r="H142" i="15"/>
  <c r="G141" i="15"/>
  <c r="G140" i="15"/>
  <c r="G139" i="15"/>
  <c r="K138" i="15"/>
  <c r="J138" i="15"/>
  <c r="G138" i="15" s="1"/>
  <c r="I138" i="15"/>
  <c r="H138" i="15"/>
  <c r="G137" i="15"/>
  <c r="G136" i="15"/>
  <c r="K135" i="15"/>
  <c r="J135" i="15"/>
  <c r="J133" i="15" s="1"/>
  <c r="J132" i="15" s="1"/>
  <c r="I135" i="15"/>
  <c r="G135" i="15" s="1"/>
  <c r="H135" i="15"/>
  <c r="G134" i="15"/>
  <c r="K133" i="15"/>
  <c r="K132" i="15" s="1"/>
  <c r="H133" i="15"/>
  <c r="H132" i="15"/>
  <c r="G131" i="15"/>
  <c r="G130" i="15"/>
  <c r="G129" i="15"/>
  <c r="K128" i="15"/>
  <c r="J128" i="15"/>
  <c r="I128" i="15"/>
  <c r="I126" i="15" s="1"/>
  <c r="H128" i="15"/>
  <c r="G128" i="15" s="1"/>
  <c r="G127" i="15"/>
  <c r="K126" i="15"/>
  <c r="J126" i="15"/>
  <c r="G124" i="15"/>
  <c r="G123" i="15"/>
  <c r="K122" i="15"/>
  <c r="J122" i="15"/>
  <c r="I122" i="15"/>
  <c r="G122" i="15" s="1"/>
  <c r="H122" i="15"/>
  <c r="K121" i="15"/>
  <c r="K120" i="15" s="1"/>
  <c r="J121" i="15"/>
  <c r="J143" i="15" s="1"/>
  <c r="I120" i="15"/>
  <c r="H120" i="15"/>
  <c r="G119" i="15"/>
  <c r="G118" i="15"/>
  <c r="G117" i="15"/>
  <c r="K116" i="15"/>
  <c r="J116" i="15"/>
  <c r="I116" i="15"/>
  <c r="G116" i="15" s="1"/>
  <c r="H116" i="15"/>
  <c r="G115" i="15"/>
  <c r="G114" i="15"/>
  <c r="G113" i="15"/>
  <c r="G112" i="15"/>
  <c r="G111" i="15"/>
  <c r="G110" i="15"/>
  <c r="K109" i="15"/>
  <c r="J109" i="15"/>
  <c r="I109" i="15"/>
  <c r="I102" i="15" s="1"/>
  <c r="H109" i="15"/>
  <c r="G109" i="15" s="1"/>
  <c r="G108" i="15"/>
  <c r="G107" i="15"/>
  <c r="K106" i="15"/>
  <c r="J106" i="15"/>
  <c r="I106" i="15"/>
  <c r="H106" i="15"/>
  <c r="G106" i="15"/>
  <c r="G105" i="15"/>
  <c r="G104" i="15"/>
  <c r="K103" i="15"/>
  <c r="J103" i="15"/>
  <c r="J102" i="15" s="1"/>
  <c r="J100" i="15" s="1"/>
  <c r="I103" i="15"/>
  <c r="H103" i="15"/>
  <c r="K102" i="15"/>
  <c r="K100" i="15" s="1"/>
  <c r="K99" i="15" s="1"/>
  <c r="G101" i="15"/>
  <c r="I100" i="15"/>
  <c r="I99" i="15" s="1"/>
  <c r="J99" i="15"/>
  <c r="G98" i="15"/>
  <c r="G97" i="15"/>
  <c r="G96" i="15"/>
  <c r="K95" i="15"/>
  <c r="K93" i="15" s="1"/>
  <c r="J95" i="15"/>
  <c r="I95" i="15"/>
  <c r="H95" i="15"/>
  <c r="G94" i="15"/>
  <c r="I93" i="15"/>
  <c r="H93" i="15"/>
  <c r="G91" i="15"/>
  <c r="G90" i="15"/>
  <c r="K89" i="15"/>
  <c r="G89" i="15" s="1"/>
  <c r="J89" i="15"/>
  <c r="K86" i="15"/>
  <c r="J86" i="15"/>
  <c r="I86" i="15"/>
  <c r="H86" i="15"/>
  <c r="G86" i="15"/>
  <c r="G85" i="15"/>
  <c r="G84" i="15"/>
  <c r="K83" i="15"/>
  <c r="G83" i="15"/>
  <c r="G82" i="15"/>
  <c r="G81" i="15"/>
  <c r="H80" i="15"/>
  <c r="G79" i="15"/>
  <c r="K76" i="15"/>
  <c r="K70" i="15" s="1"/>
  <c r="J76" i="15"/>
  <c r="I76" i="15"/>
  <c r="H76" i="15"/>
  <c r="G75" i="15"/>
  <c r="G74" i="15"/>
  <c r="G73" i="15"/>
  <c r="G72" i="15"/>
  <c r="G71" i="15"/>
  <c r="I70" i="15"/>
  <c r="H70" i="15"/>
  <c r="G69" i="15"/>
  <c r="G68" i="15"/>
  <c r="K67" i="15"/>
  <c r="G66" i="15"/>
  <c r="J65" i="15"/>
  <c r="J64" i="15" s="1"/>
  <c r="G65" i="15"/>
  <c r="I64" i="15"/>
  <c r="H64" i="15"/>
  <c r="G62" i="15"/>
  <c r="K60" i="15"/>
  <c r="J60" i="15"/>
  <c r="G60" i="15" s="1"/>
  <c r="I60" i="15"/>
  <c r="H60" i="15"/>
  <c r="K57" i="15"/>
  <c r="K52" i="15" s="1"/>
  <c r="J57" i="15"/>
  <c r="I57" i="15"/>
  <c r="H57" i="15"/>
  <c r="G57" i="15"/>
  <c r="K54" i="15"/>
  <c r="J54" i="15"/>
  <c r="I54" i="15"/>
  <c r="I52" i="15" s="1"/>
  <c r="I87" i="15" s="1"/>
  <c r="H54" i="15"/>
  <c r="G53" i="15"/>
  <c r="J52" i="15"/>
  <c r="K50" i="15"/>
  <c r="J49" i="15"/>
  <c r="I49" i="15"/>
  <c r="H49" i="15"/>
  <c r="K48" i="15"/>
  <c r="G48" i="15"/>
  <c r="G47" i="15"/>
  <c r="G45" i="15"/>
  <c r="G44" i="15"/>
  <c r="H43" i="15"/>
  <c r="G42" i="15"/>
  <c r="K39" i="15"/>
  <c r="J39" i="15"/>
  <c r="I39" i="15"/>
  <c r="I33" i="15" s="1"/>
  <c r="H39" i="15"/>
  <c r="G38" i="15"/>
  <c r="G37" i="15"/>
  <c r="G36" i="15"/>
  <c r="G35" i="15"/>
  <c r="G34" i="15"/>
  <c r="K33" i="15"/>
  <c r="J33" i="15"/>
  <c r="G32" i="15"/>
  <c r="G31" i="15"/>
  <c r="K30" i="15"/>
  <c r="J43" i="15" s="1"/>
  <c r="G43" i="15" s="1"/>
  <c r="G30" i="15"/>
  <c r="G29" i="15"/>
  <c r="J28" i="15"/>
  <c r="G28" i="15"/>
  <c r="K27" i="15"/>
  <c r="J27" i="15"/>
  <c r="G27" i="15" s="1"/>
  <c r="I27" i="15"/>
  <c r="H27" i="15"/>
  <c r="G25" i="15"/>
  <c r="K46" i="15" s="1"/>
  <c r="K23" i="15"/>
  <c r="J23" i="15"/>
  <c r="I23" i="15"/>
  <c r="H23" i="15"/>
  <c r="G23" i="15" s="1"/>
  <c r="K20" i="15"/>
  <c r="J20" i="15"/>
  <c r="I20" i="15"/>
  <c r="H20" i="15"/>
  <c r="K17" i="15"/>
  <c r="K15" i="15" s="1"/>
  <c r="J17" i="15"/>
  <c r="I17" i="15"/>
  <c r="H17" i="15"/>
  <c r="G16" i="15"/>
  <c r="H15" i="15"/>
  <c r="J87" i="15" l="1"/>
  <c r="H50" i="15"/>
  <c r="J15" i="15"/>
  <c r="J50" i="15" s="1"/>
  <c r="G17" i="15"/>
  <c r="G143" i="15"/>
  <c r="J142" i="15"/>
  <c r="G142" i="15" s="1"/>
  <c r="G39" i="15"/>
  <c r="H33" i="15"/>
  <c r="G33" i="15" s="1"/>
  <c r="G70" i="15"/>
  <c r="G80" i="15"/>
  <c r="K49" i="15"/>
  <c r="G49" i="15" s="1"/>
  <c r="G46" i="15"/>
  <c r="G67" i="15"/>
  <c r="K64" i="15"/>
  <c r="G64" i="15" s="1"/>
  <c r="J80" i="15"/>
  <c r="J70" i="15"/>
  <c r="G76" i="15"/>
  <c r="G93" i="15"/>
  <c r="G20" i="15"/>
  <c r="I15" i="15"/>
  <c r="I50" i="15" s="1"/>
  <c r="G54" i="15"/>
  <c r="H52" i="15"/>
  <c r="J93" i="15"/>
  <c r="G95" i="15"/>
  <c r="H102" i="15"/>
  <c r="G103" i="15"/>
  <c r="J120" i="15"/>
  <c r="G120" i="15" s="1"/>
  <c r="H126" i="15"/>
  <c r="G126" i="15" s="1"/>
  <c r="I133" i="15"/>
  <c r="G121" i="15"/>
  <c r="I132" i="15" l="1"/>
  <c r="G132" i="15" s="1"/>
  <c r="G133" i="15"/>
  <c r="H100" i="15"/>
  <c r="G102" i="15"/>
  <c r="K87" i="15"/>
  <c r="G50" i="15"/>
  <c r="H87" i="15"/>
  <c r="G52" i="15"/>
  <c r="G15" i="15"/>
  <c r="G87" i="15" l="1"/>
  <c r="G100" i="15"/>
  <c r="H99" i="15"/>
  <c r="G99" i="15" s="1"/>
  <c r="I148" i="14" l="1"/>
  <c r="G146" i="14"/>
  <c r="G145" i="14"/>
  <c r="K144" i="14"/>
  <c r="J144" i="14"/>
  <c r="I144" i="14"/>
  <c r="H144" i="14"/>
  <c r="G144" i="14"/>
  <c r="J143" i="14"/>
  <c r="J142" i="14" s="1"/>
  <c r="I142" i="14"/>
  <c r="H142" i="14"/>
  <c r="G141" i="14"/>
  <c r="G140" i="14"/>
  <c r="G139" i="14"/>
  <c r="K138" i="14"/>
  <c r="J138" i="14"/>
  <c r="I138" i="14"/>
  <c r="H138" i="14"/>
  <c r="G138" i="14"/>
  <c r="G137" i="14"/>
  <c r="G136" i="14"/>
  <c r="K135" i="14"/>
  <c r="K133" i="14" s="1"/>
  <c r="K132" i="14" s="1"/>
  <c r="J135" i="14"/>
  <c r="J133" i="14" s="1"/>
  <c r="J132" i="14" s="1"/>
  <c r="I135" i="14"/>
  <c r="H135" i="14"/>
  <c r="G134" i="14"/>
  <c r="I133" i="14"/>
  <c r="H133" i="14"/>
  <c r="G133" i="14" s="1"/>
  <c r="I132" i="14"/>
  <c r="G131" i="14"/>
  <c r="G130" i="14"/>
  <c r="G129" i="14"/>
  <c r="K128" i="14"/>
  <c r="J128" i="14"/>
  <c r="J126" i="14" s="1"/>
  <c r="I128" i="14"/>
  <c r="G128" i="14" s="1"/>
  <c r="H128" i="14"/>
  <c r="G127" i="14"/>
  <c r="K126" i="14"/>
  <c r="H126" i="14"/>
  <c r="G124" i="14"/>
  <c r="G123" i="14"/>
  <c r="K122" i="14"/>
  <c r="J122" i="14"/>
  <c r="G122" i="14" s="1"/>
  <c r="I122" i="14"/>
  <c r="H122" i="14"/>
  <c r="K121" i="14"/>
  <c r="K143" i="14" s="1"/>
  <c r="J121" i="14"/>
  <c r="J120" i="14"/>
  <c r="I120" i="14"/>
  <c r="H120" i="14"/>
  <c r="G119" i="14"/>
  <c r="G118" i="14"/>
  <c r="G117" i="14"/>
  <c r="K116" i="14"/>
  <c r="J116" i="14"/>
  <c r="G116" i="14" s="1"/>
  <c r="I116" i="14"/>
  <c r="H116" i="14"/>
  <c r="G115" i="14"/>
  <c r="G114" i="14"/>
  <c r="G113" i="14"/>
  <c r="G112" i="14"/>
  <c r="G111" i="14"/>
  <c r="G110" i="14"/>
  <c r="K109" i="14"/>
  <c r="J109" i="14"/>
  <c r="J102" i="14" s="1"/>
  <c r="J100" i="14" s="1"/>
  <c r="J99" i="14" s="1"/>
  <c r="I109" i="14"/>
  <c r="G109" i="14" s="1"/>
  <c r="H109" i="14"/>
  <c r="G108" i="14"/>
  <c r="G107" i="14"/>
  <c r="K106" i="14"/>
  <c r="J106" i="14"/>
  <c r="I106" i="14"/>
  <c r="H106" i="14"/>
  <c r="G106" i="14" s="1"/>
  <c r="G105" i="14"/>
  <c r="G104" i="14"/>
  <c r="K103" i="14"/>
  <c r="K102" i="14" s="1"/>
  <c r="K100" i="14" s="1"/>
  <c r="K99" i="14" s="1"/>
  <c r="J103" i="14"/>
  <c r="I103" i="14"/>
  <c r="H103" i="14"/>
  <c r="G103" i="14"/>
  <c r="H102" i="14"/>
  <c r="G101" i="14"/>
  <c r="G98" i="14"/>
  <c r="G97" i="14"/>
  <c r="G96" i="14"/>
  <c r="K95" i="14"/>
  <c r="K93" i="14" s="1"/>
  <c r="J95" i="14"/>
  <c r="I95" i="14"/>
  <c r="H95" i="14"/>
  <c r="H93" i="14" s="1"/>
  <c r="G95" i="14"/>
  <c r="G94" i="14"/>
  <c r="J93" i="14"/>
  <c r="I93" i="14"/>
  <c r="G91" i="14"/>
  <c r="G90" i="14"/>
  <c r="K89" i="14"/>
  <c r="J89" i="14"/>
  <c r="G89" i="14"/>
  <c r="J86" i="14"/>
  <c r="I86" i="14"/>
  <c r="H86" i="14"/>
  <c r="G85" i="14"/>
  <c r="G84" i="14"/>
  <c r="K83" i="14"/>
  <c r="K86" i="14" s="1"/>
  <c r="G82" i="14"/>
  <c r="G81" i="14"/>
  <c r="H80" i="14"/>
  <c r="G79" i="14"/>
  <c r="K76" i="14"/>
  <c r="K70" i="14" s="1"/>
  <c r="J76" i="14"/>
  <c r="I76" i="14"/>
  <c r="H76" i="14"/>
  <c r="H70" i="14" s="1"/>
  <c r="G70" i="14" s="1"/>
  <c r="G76" i="14"/>
  <c r="G75" i="14"/>
  <c r="G74" i="14"/>
  <c r="G73" i="14"/>
  <c r="G72" i="14"/>
  <c r="G71" i="14"/>
  <c r="J70" i="14"/>
  <c r="I70" i="14"/>
  <c r="G69" i="14"/>
  <c r="G68" i="14"/>
  <c r="G66" i="14"/>
  <c r="J65" i="14"/>
  <c r="G65" i="14" s="1"/>
  <c r="I64" i="14"/>
  <c r="H64" i="14"/>
  <c r="G62" i="14"/>
  <c r="K60" i="14"/>
  <c r="J60" i="14"/>
  <c r="I60" i="14"/>
  <c r="H60" i="14"/>
  <c r="G60" i="14"/>
  <c r="K57" i="14"/>
  <c r="J57" i="14"/>
  <c r="I57" i="14"/>
  <c r="H57" i="14"/>
  <c r="G57" i="14" s="1"/>
  <c r="K54" i="14"/>
  <c r="J54" i="14"/>
  <c r="J52" i="14" s="1"/>
  <c r="I54" i="14"/>
  <c r="G54" i="14" s="1"/>
  <c r="H54" i="14"/>
  <c r="G53" i="14"/>
  <c r="K52" i="14"/>
  <c r="J49" i="14"/>
  <c r="I49" i="14"/>
  <c r="G49" i="14" s="1"/>
  <c r="H49" i="14"/>
  <c r="K48" i="14"/>
  <c r="G48" i="14"/>
  <c r="G47" i="14"/>
  <c r="K46" i="14"/>
  <c r="K49" i="14" s="1"/>
  <c r="G46" i="14"/>
  <c r="G45" i="14"/>
  <c r="G44" i="14"/>
  <c r="H43" i="14"/>
  <c r="G42" i="14"/>
  <c r="K39" i="14"/>
  <c r="J39" i="14"/>
  <c r="J33" i="14" s="1"/>
  <c r="I39" i="14"/>
  <c r="H39" i="14"/>
  <c r="G38" i="14"/>
  <c r="G37" i="14"/>
  <c r="G36" i="14"/>
  <c r="G35" i="14"/>
  <c r="G34" i="14"/>
  <c r="K33" i="14"/>
  <c r="H33" i="14"/>
  <c r="G32" i="14"/>
  <c r="G31" i="14"/>
  <c r="K30" i="14"/>
  <c r="J43" i="14" s="1"/>
  <c r="G43" i="14" s="1"/>
  <c r="G30" i="14"/>
  <c r="G29" i="14"/>
  <c r="J28" i="14"/>
  <c r="J27" i="14" s="1"/>
  <c r="G27" i="14" s="1"/>
  <c r="G28" i="14"/>
  <c r="K27" i="14"/>
  <c r="I27" i="14"/>
  <c r="H27" i="14"/>
  <c r="G25" i="14"/>
  <c r="K23" i="14"/>
  <c r="J23" i="14"/>
  <c r="I23" i="14"/>
  <c r="G23" i="14" s="1"/>
  <c r="H23" i="14"/>
  <c r="K20" i="14"/>
  <c r="J20" i="14"/>
  <c r="I20" i="14"/>
  <c r="H20" i="14"/>
  <c r="K17" i="14"/>
  <c r="K15" i="14" s="1"/>
  <c r="J17" i="14"/>
  <c r="I17" i="14"/>
  <c r="H17" i="14"/>
  <c r="H15" i="14" s="1"/>
  <c r="G17" i="14"/>
  <c r="G16" i="14"/>
  <c r="I15" i="14"/>
  <c r="G20" i="14" l="1"/>
  <c r="J15" i="14"/>
  <c r="J50" i="14" s="1"/>
  <c r="G120" i="14"/>
  <c r="K50" i="14"/>
  <c r="H50" i="14"/>
  <c r="G143" i="14"/>
  <c r="K142" i="14"/>
  <c r="I50" i="14"/>
  <c r="G39" i="14"/>
  <c r="I33" i="14"/>
  <c r="G33" i="14" s="1"/>
  <c r="G86" i="14"/>
  <c r="G93" i="14"/>
  <c r="G142" i="14"/>
  <c r="H52" i="14"/>
  <c r="J64" i="14"/>
  <c r="I102" i="14"/>
  <c r="I100" i="14" s="1"/>
  <c r="I99" i="14" s="1"/>
  <c r="K120" i="14"/>
  <c r="G135" i="14"/>
  <c r="I52" i="14"/>
  <c r="I87" i="14" s="1"/>
  <c r="H100" i="14"/>
  <c r="G121" i="14"/>
  <c r="I126" i="14"/>
  <c r="G126" i="14" s="1"/>
  <c r="K67" i="14"/>
  <c r="G83" i="14"/>
  <c r="H132" i="14"/>
  <c r="G132" i="14" s="1"/>
  <c r="G67" i="14" l="1"/>
  <c r="K64" i="14"/>
  <c r="K87" i="14" s="1"/>
  <c r="J80" i="14"/>
  <c r="G80" i="14" s="1"/>
  <c r="H87" i="14"/>
  <c r="G52" i="14"/>
  <c r="G50" i="14"/>
  <c r="G100" i="14"/>
  <c r="H99" i="14"/>
  <c r="G99" i="14" s="1"/>
  <c r="G102" i="14"/>
  <c r="G15" i="14"/>
  <c r="J87" i="14" l="1"/>
  <c r="G87" i="14" s="1"/>
  <c r="G64" i="14"/>
  <c r="I148" i="13" l="1"/>
  <c r="G146" i="13"/>
  <c r="G145" i="13"/>
  <c r="K144" i="13"/>
  <c r="J144" i="13"/>
  <c r="I144" i="13"/>
  <c r="G144" i="13" s="1"/>
  <c r="H144" i="13"/>
  <c r="J143" i="13"/>
  <c r="J142" i="13" s="1"/>
  <c r="I142" i="13"/>
  <c r="H142" i="13"/>
  <c r="G141" i="13"/>
  <c r="G140" i="13"/>
  <c r="G139" i="13"/>
  <c r="K138" i="13"/>
  <c r="J138" i="13"/>
  <c r="I138" i="13"/>
  <c r="G138" i="13" s="1"/>
  <c r="H138" i="13"/>
  <c r="G137" i="13"/>
  <c r="G136" i="13"/>
  <c r="K135" i="13"/>
  <c r="J135" i="13"/>
  <c r="I135" i="13"/>
  <c r="I133" i="13" s="1"/>
  <c r="I132" i="13" s="1"/>
  <c r="H135" i="13"/>
  <c r="G135" i="13" s="1"/>
  <c r="G134" i="13"/>
  <c r="K133" i="13"/>
  <c r="J133" i="13"/>
  <c r="J132" i="13" s="1"/>
  <c r="K132" i="13"/>
  <c r="G131" i="13"/>
  <c r="G130" i="13"/>
  <c r="G129" i="13"/>
  <c r="K128" i="13"/>
  <c r="K126" i="13" s="1"/>
  <c r="J128" i="13"/>
  <c r="I128" i="13"/>
  <c r="H128" i="13"/>
  <c r="H126" i="13" s="1"/>
  <c r="G126" i="13" s="1"/>
  <c r="G128" i="13"/>
  <c r="G127" i="13"/>
  <c r="J126" i="13"/>
  <c r="I126" i="13"/>
  <c r="G124" i="13"/>
  <c r="G123" i="13"/>
  <c r="K122" i="13"/>
  <c r="J122" i="13"/>
  <c r="I122" i="13"/>
  <c r="H122" i="13"/>
  <c r="G122" i="13" s="1"/>
  <c r="K121" i="13"/>
  <c r="K143" i="13" s="1"/>
  <c r="K142" i="13" s="1"/>
  <c r="J121" i="13"/>
  <c r="G121" i="13"/>
  <c r="J120" i="13"/>
  <c r="I120" i="13"/>
  <c r="H120" i="13"/>
  <c r="G119" i="13"/>
  <c r="G118" i="13"/>
  <c r="G117" i="13"/>
  <c r="K116" i="13"/>
  <c r="J116" i="13"/>
  <c r="I116" i="13"/>
  <c r="H116" i="13"/>
  <c r="G116" i="13" s="1"/>
  <c r="G115" i="13"/>
  <c r="G114" i="13"/>
  <c r="G113" i="13"/>
  <c r="G112" i="13"/>
  <c r="G111" i="13"/>
  <c r="G110" i="13"/>
  <c r="K109" i="13"/>
  <c r="J109" i="13"/>
  <c r="I109" i="13"/>
  <c r="H109" i="13"/>
  <c r="G109" i="13"/>
  <c r="G108" i="13"/>
  <c r="G107" i="13"/>
  <c r="K106" i="13"/>
  <c r="J106" i="13"/>
  <c r="I106" i="13"/>
  <c r="H106" i="13"/>
  <c r="G106" i="13" s="1"/>
  <c r="G105" i="13"/>
  <c r="G104" i="13"/>
  <c r="K103" i="13"/>
  <c r="K102" i="13" s="1"/>
  <c r="K100" i="13" s="1"/>
  <c r="K99" i="13" s="1"/>
  <c r="J103" i="13"/>
  <c r="I103" i="13"/>
  <c r="I102" i="13" s="1"/>
  <c r="I100" i="13" s="1"/>
  <c r="I99" i="13" s="1"/>
  <c r="H103" i="13"/>
  <c r="J102" i="13"/>
  <c r="J100" i="13" s="1"/>
  <c r="J99" i="13" s="1"/>
  <c r="H102" i="13"/>
  <c r="G102" i="13" s="1"/>
  <c r="G101" i="13"/>
  <c r="H100" i="13"/>
  <c r="G100" i="13" s="1"/>
  <c r="G98" i="13"/>
  <c r="G97" i="13"/>
  <c r="G96" i="13"/>
  <c r="K95" i="13"/>
  <c r="J95" i="13"/>
  <c r="J93" i="13" s="1"/>
  <c r="I95" i="13"/>
  <c r="G95" i="13" s="1"/>
  <c r="H95" i="13"/>
  <c r="G94" i="13"/>
  <c r="K93" i="13"/>
  <c r="H93" i="13"/>
  <c r="G91" i="13"/>
  <c r="G90" i="13"/>
  <c r="K89" i="13"/>
  <c r="J89" i="13"/>
  <c r="G89" i="13" s="1"/>
  <c r="J86" i="13"/>
  <c r="I86" i="13"/>
  <c r="H86" i="13"/>
  <c r="G85" i="13"/>
  <c r="G84" i="13"/>
  <c r="K83" i="13"/>
  <c r="K86" i="13" s="1"/>
  <c r="G82" i="13"/>
  <c r="G81" i="13"/>
  <c r="H80" i="13"/>
  <c r="G79" i="13"/>
  <c r="K76" i="13"/>
  <c r="J76" i="13"/>
  <c r="J70" i="13" s="1"/>
  <c r="I76" i="13"/>
  <c r="G76" i="13" s="1"/>
  <c r="H76" i="13"/>
  <c r="G75" i="13"/>
  <c r="G74" i="13"/>
  <c r="G73" i="13"/>
  <c r="G72" i="13"/>
  <c r="G71" i="13"/>
  <c r="K70" i="13"/>
  <c r="H70" i="13"/>
  <c r="G69" i="13"/>
  <c r="G68" i="13"/>
  <c r="G66" i="13"/>
  <c r="J65" i="13"/>
  <c r="G65" i="13" s="1"/>
  <c r="I64" i="13"/>
  <c r="H64" i="13"/>
  <c r="G62" i="13"/>
  <c r="K60" i="13"/>
  <c r="J60" i="13"/>
  <c r="I60" i="13"/>
  <c r="G60" i="13" s="1"/>
  <c r="H60" i="13"/>
  <c r="K57" i="13"/>
  <c r="J57" i="13"/>
  <c r="J52" i="13" s="1"/>
  <c r="I57" i="13"/>
  <c r="H57" i="13"/>
  <c r="G57" i="13" s="1"/>
  <c r="K54" i="13"/>
  <c r="K52" i="13" s="1"/>
  <c r="J54" i="13"/>
  <c r="I54" i="13"/>
  <c r="H54" i="13"/>
  <c r="H52" i="13" s="1"/>
  <c r="G54" i="13"/>
  <c r="G53" i="13"/>
  <c r="I52" i="13"/>
  <c r="J49" i="13"/>
  <c r="I49" i="13"/>
  <c r="H49" i="13"/>
  <c r="K48" i="13"/>
  <c r="G48" i="13"/>
  <c r="G47" i="13"/>
  <c r="K46" i="13"/>
  <c r="K49" i="13" s="1"/>
  <c r="G49" i="13" s="1"/>
  <c r="G45" i="13"/>
  <c r="G44" i="13"/>
  <c r="J43" i="13"/>
  <c r="G42" i="13"/>
  <c r="K39" i="13"/>
  <c r="K33" i="13" s="1"/>
  <c r="J39" i="13"/>
  <c r="I39" i="13"/>
  <c r="H39" i="13"/>
  <c r="H33" i="13" s="1"/>
  <c r="G33" i="13" s="1"/>
  <c r="G38" i="13"/>
  <c r="G37" i="13"/>
  <c r="G36" i="13"/>
  <c r="G35" i="13"/>
  <c r="G34" i="13"/>
  <c r="J33" i="13"/>
  <c r="I33" i="13"/>
  <c r="G32" i="13"/>
  <c r="G31" i="13"/>
  <c r="K30" i="13"/>
  <c r="G30" i="13"/>
  <c r="G29" i="13"/>
  <c r="J28" i="13"/>
  <c r="J27" i="13" s="1"/>
  <c r="K27" i="13"/>
  <c r="I27" i="13"/>
  <c r="H27" i="13"/>
  <c r="G25" i="13"/>
  <c r="K23" i="13"/>
  <c r="J23" i="13"/>
  <c r="I23" i="13"/>
  <c r="H23" i="13"/>
  <c r="G23" i="13"/>
  <c r="K20" i="13"/>
  <c r="J20" i="13"/>
  <c r="I20" i="13"/>
  <c r="H20" i="13"/>
  <c r="H15" i="13" s="1"/>
  <c r="K17" i="13"/>
  <c r="J17" i="13"/>
  <c r="J15" i="13" s="1"/>
  <c r="J50" i="13" s="1"/>
  <c r="I17" i="13"/>
  <c r="G17" i="13" s="1"/>
  <c r="H17" i="13"/>
  <c r="G16" i="13"/>
  <c r="K15" i="13"/>
  <c r="K50" i="13" s="1"/>
  <c r="G27" i="13" l="1"/>
  <c r="G15" i="13"/>
  <c r="H87" i="13"/>
  <c r="G52" i="13"/>
  <c r="G86" i="13"/>
  <c r="G142" i="13"/>
  <c r="G39" i="13"/>
  <c r="I15" i="13"/>
  <c r="I50" i="13" s="1"/>
  <c r="I70" i="13"/>
  <c r="G70" i="13" s="1"/>
  <c r="I93" i="13"/>
  <c r="G93" i="13" s="1"/>
  <c r="G103" i="13"/>
  <c r="H133" i="13"/>
  <c r="G20" i="13"/>
  <c r="G28" i="13"/>
  <c r="H43" i="13"/>
  <c r="G43" i="13" s="1"/>
  <c r="G46" i="13"/>
  <c r="J64" i="13"/>
  <c r="H99" i="13"/>
  <c r="G99" i="13" s="1"/>
  <c r="K120" i="13"/>
  <c r="G120" i="13" s="1"/>
  <c r="G143" i="13"/>
  <c r="K67" i="13"/>
  <c r="G83" i="13"/>
  <c r="G67" i="13" l="1"/>
  <c r="K64" i="13"/>
  <c r="K87" i="13" s="1"/>
  <c r="J80" i="13"/>
  <c r="G80" i="13" s="1"/>
  <c r="G133" i="13"/>
  <c r="H132" i="13"/>
  <c r="G132" i="13" s="1"/>
  <c r="I87" i="13"/>
  <c r="G87" i="13" s="1"/>
  <c r="H50" i="13"/>
  <c r="G50" i="13" s="1"/>
  <c r="J87" i="13"/>
  <c r="G64" i="13" l="1"/>
  <c r="I148" i="12" l="1"/>
  <c r="G146" i="12"/>
  <c r="G145" i="12"/>
  <c r="K144" i="12"/>
  <c r="J144" i="12"/>
  <c r="I144" i="12"/>
  <c r="H144" i="12"/>
  <c r="G144" i="12"/>
  <c r="J143" i="12"/>
  <c r="J142" i="12" s="1"/>
  <c r="I142" i="12"/>
  <c r="H142" i="12"/>
  <c r="G141" i="12"/>
  <c r="G140" i="12"/>
  <c r="G139" i="12"/>
  <c r="K138" i="12"/>
  <c r="J138" i="12"/>
  <c r="I138" i="12"/>
  <c r="H138" i="12"/>
  <c r="G138" i="12"/>
  <c r="G137" i="12"/>
  <c r="G136" i="12"/>
  <c r="K135" i="12"/>
  <c r="K133" i="12" s="1"/>
  <c r="K132" i="12" s="1"/>
  <c r="J135" i="12"/>
  <c r="J133" i="12" s="1"/>
  <c r="J132" i="12" s="1"/>
  <c r="I135" i="12"/>
  <c r="H135" i="12"/>
  <c r="G134" i="12"/>
  <c r="I133" i="12"/>
  <c r="H133" i="12"/>
  <c r="G133" i="12" s="1"/>
  <c r="I132" i="12"/>
  <c r="G131" i="12"/>
  <c r="G130" i="12"/>
  <c r="G129" i="12"/>
  <c r="K128" i="12"/>
  <c r="J128" i="12"/>
  <c r="J126" i="12" s="1"/>
  <c r="I128" i="12"/>
  <c r="G128" i="12" s="1"/>
  <c r="H128" i="12"/>
  <c r="G127" i="12"/>
  <c r="K126" i="12"/>
  <c r="H126" i="12"/>
  <c r="G124" i="12"/>
  <c r="G123" i="12"/>
  <c r="K122" i="12"/>
  <c r="J122" i="12"/>
  <c r="G122" i="12" s="1"/>
  <c r="I122" i="12"/>
  <c r="H122" i="12"/>
  <c r="K121" i="12"/>
  <c r="K143" i="12" s="1"/>
  <c r="J121" i="12"/>
  <c r="J120" i="12"/>
  <c r="I120" i="12"/>
  <c r="H120" i="12"/>
  <c r="G119" i="12"/>
  <c r="G118" i="12"/>
  <c r="G117" i="12"/>
  <c r="K116" i="12"/>
  <c r="J116" i="12"/>
  <c r="G116" i="12" s="1"/>
  <c r="I116" i="12"/>
  <c r="H116" i="12"/>
  <c r="G115" i="12"/>
  <c r="G114" i="12"/>
  <c r="G113" i="12"/>
  <c r="G112" i="12"/>
  <c r="G111" i="12"/>
  <c r="G110" i="12"/>
  <c r="K109" i="12"/>
  <c r="J109" i="12"/>
  <c r="J102" i="12" s="1"/>
  <c r="J100" i="12" s="1"/>
  <c r="J99" i="12" s="1"/>
  <c r="I109" i="12"/>
  <c r="G109" i="12" s="1"/>
  <c r="H109" i="12"/>
  <c r="G108" i="12"/>
  <c r="G107" i="12"/>
  <c r="K106" i="12"/>
  <c r="J106" i="12"/>
  <c r="I106" i="12"/>
  <c r="H106" i="12"/>
  <c r="G106" i="12" s="1"/>
  <c r="G105" i="12"/>
  <c r="G104" i="12"/>
  <c r="K103" i="12"/>
  <c r="K102" i="12" s="1"/>
  <c r="K100" i="12" s="1"/>
  <c r="K99" i="12" s="1"/>
  <c r="J103" i="12"/>
  <c r="I103" i="12"/>
  <c r="H103" i="12"/>
  <c r="G103" i="12"/>
  <c r="H102" i="12"/>
  <c r="G101" i="12"/>
  <c r="G98" i="12"/>
  <c r="G97" i="12"/>
  <c r="G96" i="12"/>
  <c r="K95" i="12"/>
  <c r="K93" i="12" s="1"/>
  <c r="J95" i="12"/>
  <c r="I95" i="12"/>
  <c r="H95" i="12"/>
  <c r="H93" i="12" s="1"/>
  <c r="G95" i="12"/>
  <c r="G94" i="12"/>
  <c r="J93" i="12"/>
  <c r="I93" i="12"/>
  <c r="G91" i="12"/>
  <c r="G90" i="12"/>
  <c r="K89" i="12"/>
  <c r="J89" i="12"/>
  <c r="G89" i="12"/>
  <c r="J86" i="12"/>
  <c r="I86" i="12"/>
  <c r="H86" i="12"/>
  <c r="G85" i="12"/>
  <c r="G84" i="12"/>
  <c r="K83" i="12"/>
  <c r="K86" i="12" s="1"/>
  <c r="G82" i="12"/>
  <c r="G81" i="12"/>
  <c r="H80" i="12"/>
  <c r="G79" i="12"/>
  <c r="K76" i="12"/>
  <c r="K70" i="12" s="1"/>
  <c r="J76" i="12"/>
  <c r="I76" i="12"/>
  <c r="H76" i="12"/>
  <c r="H70" i="12" s="1"/>
  <c r="G70" i="12" s="1"/>
  <c r="G76" i="12"/>
  <c r="G75" i="12"/>
  <c r="G74" i="12"/>
  <c r="G73" i="12"/>
  <c r="G72" i="12"/>
  <c r="G71" i="12"/>
  <c r="J70" i="12"/>
  <c r="I70" i="12"/>
  <c r="G69" i="12"/>
  <c r="G68" i="12"/>
  <c r="G66" i="12"/>
  <c r="J65" i="12"/>
  <c r="G65" i="12" s="1"/>
  <c r="I64" i="12"/>
  <c r="H64" i="12"/>
  <c r="G62" i="12"/>
  <c r="K60" i="12"/>
  <c r="J60" i="12"/>
  <c r="I60" i="12"/>
  <c r="H60" i="12"/>
  <c r="G60" i="12"/>
  <c r="K57" i="12"/>
  <c r="J57" i="12"/>
  <c r="I57" i="12"/>
  <c r="H57" i="12"/>
  <c r="G57" i="12" s="1"/>
  <c r="K54" i="12"/>
  <c r="J54" i="12"/>
  <c r="J52" i="12" s="1"/>
  <c r="I54" i="12"/>
  <c r="G54" i="12" s="1"/>
  <c r="H54" i="12"/>
  <c r="G53" i="12"/>
  <c r="K52" i="12"/>
  <c r="J49" i="12"/>
  <c r="I49" i="12"/>
  <c r="G49" i="12" s="1"/>
  <c r="H49" i="12"/>
  <c r="K48" i="12"/>
  <c r="G48" i="12"/>
  <c r="G47" i="12"/>
  <c r="K46" i="12"/>
  <c r="K49" i="12" s="1"/>
  <c r="G46" i="12"/>
  <c r="G45" i="12"/>
  <c r="G44" i="12"/>
  <c r="H43" i="12"/>
  <c r="G42" i="12"/>
  <c r="K39" i="12"/>
  <c r="J39" i="12"/>
  <c r="J33" i="12" s="1"/>
  <c r="I39" i="12"/>
  <c r="H39" i="12"/>
  <c r="G38" i="12"/>
  <c r="G37" i="12"/>
  <c r="G36" i="12"/>
  <c r="G35" i="12"/>
  <c r="G34" i="12"/>
  <c r="K33" i="12"/>
  <c r="H33" i="12"/>
  <c r="G32" i="12"/>
  <c r="G31" i="12"/>
  <c r="K30" i="12"/>
  <c r="J43" i="12" s="1"/>
  <c r="G43" i="12" s="1"/>
  <c r="G30" i="12"/>
  <c r="G29" i="12"/>
  <c r="J28" i="12"/>
  <c r="J27" i="12" s="1"/>
  <c r="G27" i="12" s="1"/>
  <c r="G28" i="12"/>
  <c r="K27" i="12"/>
  <c r="I27" i="12"/>
  <c r="H27" i="12"/>
  <c r="G25" i="12"/>
  <c r="K23" i="12"/>
  <c r="J23" i="12"/>
  <c r="I23" i="12"/>
  <c r="G23" i="12" s="1"/>
  <c r="H23" i="12"/>
  <c r="K20" i="12"/>
  <c r="J20" i="12"/>
  <c r="I20" i="12"/>
  <c r="H20" i="12"/>
  <c r="K17" i="12"/>
  <c r="K15" i="12" s="1"/>
  <c r="J17" i="12"/>
  <c r="I17" i="12"/>
  <c r="H17" i="12"/>
  <c r="H15" i="12" s="1"/>
  <c r="G17" i="12"/>
  <c r="G16" i="12"/>
  <c r="I15" i="12"/>
  <c r="G20" i="12" l="1"/>
  <c r="J15" i="12"/>
  <c r="J50" i="12" s="1"/>
  <c r="G120" i="12"/>
  <c r="K50" i="12"/>
  <c r="H50" i="12"/>
  <c r="G143" i="12"/>
  <c r="K142" i="12"/>
  <c r="I50" i="12"/>
  <c r="G39" i="12"/>
  <c r="I33" i="12"/>
  <c r="G33" i="12" s="1"/>
  <c r="G86" i="12"/>
  <c r="G93" i="12"/>
  <c r="G142" i="12"/>
  <c r="H52" i="12"/>
  <c r="J64" i="12"/>
  <c r="I102" i="12"/>
  <c r="I100" i="12" s="1"/>
  <c r="I99" i="12" s="1"/>
  <c r="K120" i="12"/>
  <c r="G135" i="12"/>
  <c r="I52" i="12"/>
  <c r="I87" i="12" s="1"/>
  <c r="H100" i="12"/>
  <c r="G121" i="12"/>
  <c r="I126" i="12"/>
  <c r="G126" i="12" s="1"/>
  <c r="K67" i="12"/>
  <c r="G83" i="12"/>
  <c r="H132" i="12"/>
  <c r="G132" i="12" s="1"/>
  <c r="G67" i="12" l="1"/>
  <c r="K64" i="12"/>
  <c r="K87" i="12" s="1"/>
  <c r="J80" i="12"/>
  <c r="G80" i="12" s="1"/>
  <c r="H87" i="12"/>
  <c r="G52" i="12"/>
  <c r="G50" i="12"/>
  <c r="G100" i="12"/>
  <c r="H99" i="12"/>
  <c r="G99" i="12" s="1"/>
  <c r="G102" i="12"/>
  <c r="G15" i="12"/>
  <c r="J87" i="12" l="1"/>
  <c r="G87" i="12" s="1"/>
  <c r="G64" i="12"/>
  <c r="I148" i="11" l="1"/>
  <c r="G146" i="11"/>
  <c r="G145" i="11"/>
  <c r="K144" i="11"/>
  <c r="J144" i="11"/>
  <c r="I144" i="11"/>
  <c r="H144" i="11"/>
  <c r="G144" i="11"/>
  <c r="I142" i="11"/>
  <c r="H142" i="11"/>
  <c r="G141" i="11"/>
  <c r="G140" i="11"/>
  <c r="G139" i="11"/>
  <c r="K138" i="11"/>
  <c r="J138" i="11"/>
  <c r="I138" i="11"/>
  <c r="H138" i="11"/>
  <c r="G138" i="11"/>
  <c r="G137" i="11"/>
  <c r="G136" i="11"/>
  <c r="K135" i="11"/>
  <c r="K133" i="11" s="1"/>
  <c r="K132" i="11" s="1"/>
  <c r="J135" i="11"/>
  <c r="J133" i="11" s="1"/>
  <c r="J132" i="11" s="1"/>
  <c r="I135" i="11"/>
  <c r="H135" i="11"/>
  <c r="G134" i="11"/>
  <c r="I133" i="11"/>
  <c r="H133" i="11"/>
  <c r="I132" i="11"/>
  <c r="G131" i="11"/>
  <c r="G130" i="11"/>
  <c r="G129" i="11"/>
  <c r="K128" i="11"/>
  <c r="J128" i="11"/>
  <c r="J126" i="11" s="1"/>
  <c r="I128" i="11"/>
  <c r="I126" i="11" s="1"/>
  <c r="H128" i="11"/>
  <c r="G128" i="11" s="1"/>
  <c r="G127" i="11"/>
  <c r="K126" i="11"/>
  <c r="H126" i="11"/>
  <c r="G124" i="11"/>
  <c r="G123" i="11"/>
  <c r="K122" i="11"/>
  <c r="J122" i="11"/>
  <c r="G122" i="11" s="1"/>
  <c r="I122" i="11"/>
  <c r="H122" i="11"/>
  <c r="K121" i="11"/>
  <c r="K143" i="11" s="1"/>
  <c r="K142" i="11" s="1"/>
  <c r="J121" i="11"/>
  <c r="J143" i="11" s="1"/>
  <c r="J120" i="11"/>
  <c r="I120" i="11"/>
  <c r="H120" i="11"/>
  <c r="G119" i="11"/>
  <c r="G118" i="11"/>
  <c r="G117" i="11"/>
  <c r="K116" i="11"/>
  <c r="J116" i="11"/>
  <c r="G116" i="11" s="1"/>
  <c r="I116" i="11"/>
  <c r="H116" i="11"/>
  <c r="G115" i="11"/>
  <c r="G114" i="11"/>
  <c r="G113" i="11"/>
  <c r="G112" i="11"/>
  <c r="G111" i="11"/>
  <c r="G110" i="11"/>
  <c r="K109" i="11"/>
  <c r="J109" i="11"/>
  <c r="I109" i="11"/>
  <c r="I102" i="11" s="1"/>
  <c r="I100" i="11" s="1"/>
  <c r="I99" i="11" s="1"/>
  <c r="H109" i="11"/>
  <c r="G109" i="11" s="1"/>
  <c r="G108" i="11"/>
  <c r="G107" i="11"/>
  <c r="K106" i="11"/>
  <c r="J106" i="11"/>
  <c r="I106" i="11"/>
  <c r="H106" i="11"/>
  <c r="G106" i="11" s="1"/>
  <c r="G105" i="11"/>
  <c r="G104" i="11"/>
  <c r="K103" i="11"/>
  <c r="K102" i="11" s="1"/>
  <c r="K100" i="11" s="1"/>
  <c r="K99" i="11" s="1"/>
  <c r="J103" i="11"/>
  <c r="J102" i="11" s="1"/>
  <c r="J100" i="11" s="1"/>
  <c r="J99" i="11" s="1"/>
  <c r="I103" i="11"/>
  <c r="H103" i="11"/>
  <c r="H102" i="11"/>
  <c r="G101" i="11"/>
  <c r="G98" i="11"/>
  <c r="G97" i="11"/>
  <c r="G96" i="11"/>
  <c r="K95" i="11"/>
  <c r="K93" i="11" s="1"/>
  <c r="J95" i="11"/>
  <c r="I95" i="11"/>
  <c r="H95" i="11"/>
  <c r="H93" i="11" s="1"/>
  <c r="G95" i="11"/>
  <c r="G94" i="11"/>
  <c r="J93" i="11"/>
  <c r="I93" i="11"/>
  <c r="G91" i="11"/>
  <c r="G90" i="11"/>
  <c r="K89" i="11"/>
  <c r="J89" i="11"/>
  <c r="G89" i="11"/>
  <c r="J86" i="11"/>
  <c r="I86" i="11"/>
  <c r="H86" i="11"/>
  <c r="G86" i="11" s="1"/>
  <c r="G85" i="11"/>
  <c r="G84" i="11"/>
  <c r="K83" i="11"/>
  <c r="K86" i="11" s="1"/>
  <c r="G82" i="11"/>
  <c r="G81" i="11"/>
  <c r="H80" i="11"/>
  <c r="G79" i="11"/>
  <c r="K76" i="11"/>
  <c r="G76" i="11" s="1"/>
  <c r="J76" i="11"/>
  <c r="I76" i="11"/>
  <c r="H76" i="11"/>
  <c r="H70" i="11" s="1"/>
  <c r="G75" i="11"/>
  <c r="G74" i="11"/>
  <c r="G73" i="11"/>
  <c r="G72" i="11"/>
  <c r="G71" i="11"/>
  <c r="J70" i="11"/>
  <c r="I70" i="11"/>
  <c r="G69" i="11"/>
  <c r="G68" i="11"/>
  <c r="G66" i="11"/>
  <c r="J65" i="11"/>
  <c r="G65" i="11" s="1"/>
  <c r="I64" i="11"/>
  <c r="H64" i="11"/>
  <c r="G62" i="11"/>
  <c r="K60" i="11"/>
  <c r="J60" i="11"/>
  <c r="I60" i="11"/>
  <c r="H60" i="11"/>
  <c r="G60" i="11"/>
  <c r="K57" i="11"/>
  <c r="J57" i="11"/>
  <c r="I57" i="11"/>
  <c r="H57" i="11"/>
  <c r="G57" i="11" s="1"/>
  <c r="K54" i="11"/>
  <c r="J54" i="11"/>
  <c r="J52" i="11" s="1"/>
  <c r="I54" i="11"/>
  <c r="I52" i="11" s="1"/>
  <c r="I87" i="11" s="1"/>
  <c r="H54" i="11"/>
  <c r="G54" i="11" s="1"/>
  <c r="G53" i="11"/>
  <c r="K52" i="11"/>
  <c r="J49" i="11"/>
  <c r="I49" i="11"/>
  <c r="H49" i="11"/>
  <c r="K48" i="11"/>
  <c r="G48" i="11"/>
  <c r="G47" i="11"/>
  <c r="G45" i="11"/>
  <c r="G44" i="11"/>
  <c r="H43" i="11"/>
  <c r="G42" i="11"/>
  <c r="K39" i="11"/>
  <c r="J39" i="11"/>
  <c r="J33" i="11" s="1"/>
  <c r="I39" i="11"/>
  <c r="I33" i="11" s="1"/>
  <c r="G33" i="11" s="1"/>
  <c r="H39" i="11"/>
  <c r="G39" i="11" s="1"/>
  <c r="G38" i="11"/>
  <c r="G37" i="11"/>
  <c r="G36" i="11"/>
  <c r="G35" i="11"/>
  <c r="G34" i="11"/>
  <c r="K33" i="11"/>
  <c r="H33" i="11"/>
  <c r="G32" i="11"/>
  <c r="G31" i="11"/>
  <c r="K30" i="11"/>
  <c r="J43" i="11" s="1"/>
  <c r="G43" i="11" s="1"/>
  <c r="G30" i="11"/>
  <c r="G29" i="11"/>
  <c r="J28" i="11"/>
  <c r="G28" i="11"/>
  <c r="K27" i="11"/>
  <c r="J27" i="11"/>
  <c r="I27" i="11"/>
  <c r="H27" i="11"/>
  <c r="G27" i="11"/>
  <c r="G25" i="11"/>
  <c r="K46" i="11" s="1"/>
  <c r="K23" i="11"/>
  <c r="J23" i="11"/>
  <c r="I23" i="11"/>
  <c r="H23" i="11"/>
  <c r="G23" i="11" s="1"/>
  <c r="K20" i="11"/>
  <c r="J20" i="11"/>
  <c r="G20" i="11" s="1"/>
  <c r="I20" i="11"/>
  <c r="H20" i="11"/>
  <c r="K17" i="11"/>
  <c r="K15" i="11" s="1"/>
  <c r="J17" i="11"/>
  <c r="I17" i="11"/>
  <c r="H17" i="11"/>
  <c r="H15" i="11" s="1"/>
  <c r="G17" i="11"/>
  <c r="G16" i="11"/>
  <c r="I15" i="11"/>
  <c r="I50" i="11" s="1"/>
  <c r="H50" i="11" l="1"/>
  <c r="G46" i="11"/>
  <c r="K49" i="11"/>
  <c r="G93" i="11"/>
  <c r="G102" i="11"/>
  <c r="G133" i="11"/>
  <c r="K50" i="11"/>
  <c r="G49" i="11"/>
  <c r="J142" i="11"/>
  <c r="G142" i="11" s="1"/>
  <c r="G143" i="11"/>
  <c r="G126" i="11"/>
  <c r="G103" i="11"/>
  <c r="K120" i="11"/>
  <c r="G120" i="11" s="1"/>
  <c r="G135" i="11"/>
  <c r="K70" i="11"/>
  <c r="G70" i="11" s="1"/>
  <c r="H100" i="11"/>
  <c r="G121" i="11"/>
  <c r="J15" i="11"/>
  <c r="J50" i="11" s="1"/>
  <c r="H52" i="11"/>
  <c r="J64" i="11"/>
  <c r="K67" i="11"/>
  <c r="G83" i="11"/>
  <c r="H132" i="11"/>
  <c r="G132" i="11" s="1"/>
  <c r="J87" i="11" l="1"/>
  <c r="G15" i="11"/>
  <c r="J80" i="11"/>
  <c r="G80" i="11" s="1"/>
  <c r="G67" i="11"/>
  <c r="K64" i="11"/>
  <c r="K87" i="11" s="1"/>
  <c r="G100" i="11"/>
  <c r="H99" i="11"/>
  <c r="G99" i="11" s="1"/>
  <c r="H87" i="11"/>
  <c r="G87" i="11" s="1"/>
  <c r="G52" i="11"/>
  <c r="G50" i="11"/>
  <c r="G64" i="11" l="1"/>
  <c r="I148" i="10" l="1"/>
  <c r="G146" i="10"/>
  <c r="G145" i="10"/>
  <c r="K144" i="10"/>
  <c r="J144" i="10"/>
  <c r="I144" i="10"/>
  <c r="H144" i="10"/>
  <c r="G144" i="10"/>
  <c r="J143" i="10"/>
  <c r="J142" i="10" s="1"/>
  <c r="I142" i="10"/>
  <c r="H142" i="10"/>
  <c r="G141" i="10"/>
  <c r="G140" i="10"/>
  <c r="G139" i="10"/>
  <c r="K138" i="10"/>
  <c r="J138" i="10"/>
  <c r="I138" i="10"/>
  <c r="H138" i="10"/>
  <c r="G138" i="10"/>
  <c r="G137" i="10"/>
  <c r="G136" i="10"/>
  <c r="K135" i="10"/>
  <c r="K133" i="10" s="1"/>
  <c r="K132" i="10" s="1"/>
  <c r="J135" i="10"/>
  <c r="J133" i="10" s="1"/>
  <c r="J132" i="10" s="1"/>
  <c r="I135" i="10"/>
  <c r="H135" i="10"/>
  <c r="G134" i="10"/>
  <c r="I133" i="10"/>
  <c r="H133" i="10"/>
  <c r="G133" i="10" s="1"/>
  <c r="I132" i="10"/>
  <c r="G131" i="10"/>
  <c r="G130" i="10"/>
  <c r="G129" i="10"/>
  <c r="K128" i="10"/>
  <c r="J128" i="10"/>
  <c r="J126" i="10" s="1"/>
  <c r="I128" i="10"/>
  <c r="G128" i="10" s="1"/>
  <c r="H128" i="10"/>
  <c r="G127" i="10"/>
  <c r="K126" i="10"/>
  <c r="H126" i="10"/>
  <c r="G124" i="10"/>
  <c r="G123" i="10"/>
  <c r="K122" i="10"/>
  <c r="J122" i="10"/>
  <c r="G122" i="10" s="1"/>
  <c r="I122" i="10"/>
  <c r="H122" i="10"/>
  <c r="K121" i="10"/>
  <c r="K143" i="10" s="1"/>
  <c r="J121" i="10"/>
  <c r="J120" i="10"/>
  <c r="I120" i="10"/>
  <c r="H120" i="10"/>
  <c r="G119" i="10"/>
  <c r="G118" i="10"/>
  <c r="G117" i="10"/>
  <c r="K116" i="10"/>
  <c r="J116" i="10"/>
  <c r="G116" i="10" s="1"/>
  <c r="I116" i="10"/>
  <c r="H116" i="10"/>
  <c r="G115" i="10"/>
  <c r="G114" i="10"/>
  <c r="G113" i="10"/>
  <c r="G112" i="10"/>
  <c r="G111" i="10"/>
  <c r="G110" i="10"/>
  <c r="K109" i="10"/>
  <c r="J109" i="10"/>
  <c r="J102" i="10" s="1"/>
  <c r="J100" i="10" s="1"/>
  <c r="J99" i="10" s="1"/>
  <c r="I109" i="10"/>
  <c r="G109" i="10" s="1"/>
  <c r="H109" i="10"/>
  <c r="G108" i="10"/>
  <c r="G107" i="10"/>
  <c r="K106" i="10"/>
  <c r="J106" i="10"/>
  <c r="I106" i="10"/>
  <c r="H106" i="10"/>
  <c r="G106" i="10" s="1"/>
  <c r="G105" i="10"/>
  <c r="G104" i="10"/>
  <c r="K103" i="10"/>
  <c r="K102" i="10" s="1"/>
  <c r="K100" i="10" s="1"/>
  <c r="K99" i="10" s="1"/>
  <c r="J103" i="10"/>
  <c r="I103" i="10"/>
  <c r="H103" i="10"/>
  <c r="G103" i="10"/>
  <c r="H102" i="10"/>
  <c r="G101" i="10"/>
  <c r="G98" i="10"/>
  <c r="G97" i="10"/>
  <c r="G96" i="10"/>
  <c r="K95" i="10"/>
  <c r="K93" i="10" s="1"/>
  <c r="J95" i="10"/>
  <c r="I95" i="10"/>
  <c r="H95" i="10"/>
  <c r="H93" i="10" s="1"/>
  <c r="G95" i="10"/>
  <c r="G94" i="10"/>
  <c r="J93" i="10"/>
  <c r="I93" i="10"/>
  <c r="G91" i="10"/>
  <c r="G90" i="10"/>
  <c r="K89" i="10"/>
  <c r="J89" i="10"/>
  <c r="G89" i="10"/>
  <c r="J86" i="10"/>
  <c r="I86" i="10"/>
  <c r="H86" i="10"/>
  <c r="G85" i="10"/>
  <c r="G84" i="10"/>
  <c r="K83" i="10"/>
  <c r="K86" i="10" s="1"/>
  <c r="G82" i="10"/>
  <c r="G81" i="10"/>
  <c r="H80" i="10"/>
  <c r="G79" i="10"/>
  <c r="K76" i="10"/>
  <c r="K70" i="10" s="1"/>
  <c r="J76" i="10"/>
  <c r="I76" i="10"/>
  <c r="H76" i="10"/>
  <c r="H70" i="10" s="1"/>
  <c r="G70" i="10" s="1"/>
  <c r="G76" i="10"/>
  <c r="G75" i="10"/>
  <c r="G74" i="10"/>
  <c r="G73" i="10"/>
  <c r="G72" i="10"/>
  <c r="G71" i="10"/>
  <c r="J70" i="10"/>
  <c r="I70" i="10"/>
  <c r="G69" i="10"/>
  <c r="G68" i="10"/>
  <c r="G66" i="10"/>
  <c r="J65" i="10"/>
  <c r="G65" i="10" s="1"/>
  <c r="I64" i="10"/>
  <c r="H64" i="10"/>
  <c r="G62" i="10"/>
  <c r="K60" i="10"/>
  <c r="J60" i="10"/>
  <c r="I60" i="10"/>
  <c r="H60" i="10"/>
  <c r="G60" i="10"/>
  <c r="K57" i="10"/>
  <c r="J57" i="10"/>
  <c r="I57" i="10"/>
  <c r="H57" i="10"/>
  <c r="G57" i="10" s="1"/>
  <c r="K54" i="10"/>
  <c r="J54" i="10"/>
  <c r="J52" i="10" s="1"/>
  <c r="I54" i="10"/>
  <c r="G54" i="10" s="1"/>
  <c r="H54" i="10"/>
  <c r="G53" i="10"/>
  <c r="K52" i="10"/>
  <c r="J49" i="10"/>
  <c r="I49" i="10"/>
  <c r="G49" i="10" s="1"/>
  <c r="H49" i="10"/>
  <c r="K48" i="10"/>
  <c r="G48" i="10"/>
  <c r="G47" i="10"/>
  <c r="K46" i="10"/>
  <c r="K49" i="10" s="1"/>
  <c r="G46" i="10"/>
  <c r="G45" i="10"/>
  <c r="G44" i="10"/>
  <c r="H43" i="10"/>
  <c r="G42" i="10"/>
  <c r="K39" i="10"/>
  <c r="J39" i="10"/>
  <c r="J33" i="10" s="1"/>
  <c r="I39" i="10"/>
  <c r="H39" i="10"/>
  <c r="G38" i="10"/>
  <c r="G37" i="10"/>
  <c r="G36" i="10"/>
  <c r="G35" i="10"/>
  <c r="G34" i="10"/>
  <c r="K33" i="10"/>
  <c r="H33" i="10"/>
  <c r="G32" i="10"/>
  <c r="G31" i="10"/>
  <c r="K30" i="10"/>
  <c r="J43" i="10" s="1"/>
  <c r="G43" i="10" s="1"/>
  <c r="G30" i="10"/>
  <c r="G29" i="10"/>
  <c r="J28" i="10"/>
  <c r="J27" i="10" s="1"/>
  <c r="G27" i="10" s="1"/>
  <c r="G28" i="10"/>
  <c r="K27" i="10"/>
  <c r="I27" i="10"/>
  <c r="H27" i="10"/>
  <c r="G25" i="10"/>
  <c r="K23" i="10"/>
  <c r="J23" i="10"/>
  <c r="I23" i="10"/>
  <c r="G23" i="10" s="1"/>
  <c r="H23" i="10"/>
  <c r="K20" i="10"/>
  <c r="J20" i="10"/>
  <c r="I20" i="10"/>
  <c r="H20" i="10"/>
  <c r="K17" i="10"/>
  <c r="K15" i="10" s="1"/>
  <c r="J17" i="10"/>
  <c r="I17" i="10"/>
  <c r="H17" i="10"/>
  <c r="H15" i="10" s="1"/>
  <c r="G17" i="10"/>
  <c r="G16" i="10"/>
  <c r="I15" i="10"/>
  <c r="G20" i="10" l="1"/>
  <c r="J15" i="10"/>
  <c r="J50" i="10" s="1"/>
  <c r="K50" i="10"/>
  <c r="H50" i="10"/>
  <c r="G143" i="10"/>
  <c r="K142" i="10"/>
  <c r="G39" i="10"/>
  <c r="I33" i="10"/>
  <c r="G33" i="10" s="1"/>
  <c r="G86" i="10"/>
  <c r="G93" i="10"/>
  <c r="G142" i="10"/>
  <c r="H52" i="10"/>
  <c r="J64" i="10"/>
  <c r="I102" i="10"/>
  <c r="I100" i="10" s="1"/>
  <c r="I99" i="10" s="1"/>
  <c r="K120" i="10"/>
  <c r="G120" i="10" s="1"/>
  <c r="G135" i="10"/>
  <c r="I52" i="10"/>
  <c r="I87" i="10" s="1"/>
  <c r="H100" i="10"/>
  <c r="G121" i="10"/>
  <c r="I126" i="10"/>
  <c r="G126" i="10" s="1"/>
  <c r="K67" i="10"/>
  <c r="G83" i="10"/>
  <c r="H132" i="10"/>
  <c r="G132" i="10" s="1"/>
  <c r="G50" i="10" l="1"/>
  <c r="G100" i="10"/>
  <c r="H99" i="10"/>
  <c r="G99" i="10" s="1"/>
  <c r="G102" i="10"/>
  <c r="G15" i="10"/>
  <c r="G67" i="10"/>
  <c r="K64" i="10"/>
  <c r="J80" i="10"/>
  <c r="G80" i="10" s="1"/>
  <c r="H87" i="10"/>
  <c r="G52" i="10"/>
  <c r="I50" i="10"/>
  <c r="J87" i="10" l="1"/>
  <c r="G87" i="10" s="1"/>
  <c r="K87" i="10"/>
  <c r="G64" i="10"/>
  <c r="I148" i="7" l="1"/>
  <c r="G146" i="7"/>
  <c r="G145" i="7"/>
  <c r="K144" i="7"/>
  <c r="J144" i="7"/>
  <c r="I144" i="7"/>
  <c r="H144" i="7"/>
  <c r="G144" i="7"/>
  <c r="J143" i="7"/>
  <c r="J142" i="7" s="1"/>
  <c r="I142" i="7"/>
  <c r="H142" i="7"/>
  <c r="G141" i="7"/>
  <c r="G140" i="7"/>
  <c r="G139" i="7"/>
  <c r="K138" i="7"/>
  <c r="J138" i="7"/>
  <c r="I138" i="7"/>
  <c r="H138" i="7"/>
  <c r="G138" i="7"/>
  <c r="G137" i="7"/>
  <c r="G136" i="7"/>
  <c r="K135" i="7"/>
  <c r="K133" i="7" s="1"/>
  <c r="K132" i="7" s="1"/>
  <c r="J135" i="7"/>
  <c r="J133" i="7" s="1"/>
  <c r="J132" i="7" s="1"/>
  <c r="I135" i="7"/>
  <c r="H135" i="7"/>
  <c r="G134" i="7"/>
  <c r="I133" i="7"/>
  <c r="H133" i="7"/>
  <c r="I132" i="7"/>
  <c r="G131" i="7"/>
  <c r="G130" i="7"/>
  <c r="G129" i="7"/>
  <c r="K128" i="7"/>
  <c r="J128" i="7"/>
  <c r="J126" i="7" s="1"/>
  <c r="I128" i="7"/>
  <c r="G128" i="7" s="1"/>
  <c r="H128" i="7"/>
  <c r="G127" i="7"/>
  <c r="K126" i="7"/>
  <c r="H126" i="7"/>
  <c r="G124" i="7"/>
  <c r="G123" i="7"/>
  <c r="K122" i="7"/>
  <c r="J122" i="7"/>
  <c r="G122" i="7" s="1"/>
  <c r="I122" i="7"/>
  <c r="H122" i="7"/>
  <c r="K121" i="7"/>
  <c r="K143" i="7" s="1"/>
  <c r="J121" i="7"/>
  <c r="J120" i="7"/>
  <c r="I120" i="7"/>
  <c r="H120" i="7"/>
  <c r="G119" i="7"/>
  <c r="G118" i="7"/>
  <c r="G117" i="7"/>
  <c r="K116" i="7"/>
  <c r="J116" i="7"/>
  <c r="G116" i="7" s="1"/>
  <c r="I116" i="7"/>
  <c r="H116" i="7"/>
  <c r="G115" i="7"/>
  <c r="G114" i="7"/>
  <c r="G113" i="7"/>
  <c r="G112" i="7"/>
  <c r="G111" i="7"/>
  <c r="G110" i="7"/>
  <c r="K109" i="7"/>
  <c r="J109" i="7"/>
  <c r="J102" i="7" s="1"/>
  <c r="J100" i="7" s="1"/>
  <c r="J99" i="7" s="1"/>
  <c r="I109" i="7"/>
  <c r="G109" i="7" s="1"/>
  <c r="H109" i="7"/>
  <c r="G108" i="7"/>
  <c r="G107" i="7"/>
  <c r="K106" i="7"/>
  <c r="J106" i="7"/>
  <c r="I106" i="7"/>
  <c r="H106" i="7"/>
  <c r="G106" i="7" s="1"/>
  <c r="G105" i="7"/>
  <c r="G104" i="7"/>
  <c r="K103" i="7"/>
  <c r="K102" i="7" s="1"/>
  <c r="K100" i="7" s="1"/>
  <c r="K99" i="7" s="1"/>
  <c r="J103" i="7"/>
  <c r="I103" i="7"/>
  <c r="H103" i="7"/>
  <c r="G103" i="7"/>
  <c r="H102" i="7"/>
  <c r="G101" i="7"/>
  <c r="G98" i="7"/>
  <c r="G97" i="7"/>
  <c r="G96" i="7"/>
  <c r="K95" i="7"/>
  <c r="K93" i="7" s="1"/>
  <c r="J95" i="7"/>
  <c r="I95" i="7"/>
  <c r="H95" i="7"/>
  <c r="H93" i="7" s="1"/>
  <c r="G95" i="7"/>
  <c r="G94" i="7"/>
  <c r="J93" i="7"/>
  <c r="I93" i="7"/>
  <c r="G91" i="7"/>
  <c r="G90" i="7"/>
  <c r="K89" i="7"/>
  <c r="J89" i="7"/>
  <c r="G89" i="7"/>
  <c r="J86" i="7"/>
  <c r="I86" i="7"/>
  <c r="H86" i="7"/>
  <c r="G86" i="7" s="1"/>
  <c r="G85" i="7"/>
  <c r="G84" i="7"/>
  <c r="K83" i="7"/>
  <c r="K86" i="7" s="1"/>
  <c r="G82" i="7"/>
  <c r="G81" i="7"/>
  <c r="H80" i="7"/>
  <c r="G79" i="7"/>
  <c r="K76" i="7"/>
  <c r="K70" i="7" s="1"/>
  <c r="J76" i="7"/>
  <c r="I76" i="7"/>
  <c r="H76" i="7"/>
  <c r="H70" i="7" s="1"/>
  <c r="G76" i="7"/>
  <c r="G75" i="7"/>
  <c r="G74" i="7"/>
  <c r="G73" i="7"/>
  <c r="G72" i="7"/>
  <c r="G71" i="7"/>
  <c r="J70" i="7"/>
  <c r="I70" i="7"/>
  <c r="G69" i="7"/>
  <c r="G68" i="7"/>
  <c r="G66" i="7"/>
  <c r="J65" i="7"/>
  <c r="G65" i="7" s="1"/>
  <c r="I64" i="7"/>
  <c r="H64" i="7"/>
  <c r="G62" i="7"/>
  <c r="K60" i="7"/>
  <c r="J60" i="7"/>
  <c r="I60" i="7"/>
  <c r="H60" i="7"/>
  <c r="G60" i="7"/>
  <c r="K57" i="7"/>
  <c r="J57" i="7"/>
  <c r="I57" i="7"/>
  <c r="H57" i="7"/>
  <c r="G57" i="7" s="1"/>
  <c r="K54" i="7"/>
  <c r="J54" i="7"/>
  <c r="J52" i="7" s="1"/>
  <c r="I54" i="7"/>
  <c r="G54" i="7" s="1"/>
  <c r="H54" i="7"/>
  <c r="G53" i="7"/>
  <c r="K52" i="7"/>
  <c r="J49" i="7"/>
  <c r="I49" i="7"/>
  <c r="H49" i="7"/>
  <c r="K48" i="7"/>
  <c r="G48" i="7"/>
  <c r="G47" i="7"/>
  <c r="K46" i="7"/>
  <c r="K49" i="7" s="1"/>
  <c r="G46" i="7"/>
  <c r="G45" i="7"/>
  <c r="G44" i="7"/>
  <c r="H43" i="7"/>
  <c r="G42" i="7"/>
  <c r="K39" i="7"/>
  <c r="J39" i="7"/>
  <c r="J33" i="7" s="1"/>
  <c r="I39" i="7"/>
  <c r="H39" i="7"/>
  <c r="G38" i="7"/>
  <c r="G37" i="7"/>
  <c r="G36" i="7"/>
  <c r="G35" i="7"/>
  <c r="G34" i="7"/>
  <c r="K33" i="7"/>
  <c r="H33" i="7"/>
  <c r="G32" i="7"/>
  <c r="G31" i="7"/>
  <c r="K30" i="7"/>
  <c r="J43" i="7" s="1"/>
  <c r="G43" i="7" s="1"/>
  <c r="G30" i="7"/>
  <c r="G29" i="7"/>
  <c r="J28" i="7"/>
  <c r="J27" i="7" s="1"/>
  <c r="G28" i="7"/>
  <c r="K27" i="7"/>
  <c r="G27" i="7" s="1"/>
  <c r="I27" i="7"/>
  <c r="H27" i="7"/>
  <c r="G25" i="7"/>
  <c r="K23" i="7"/>
  <c r="J23" i="7"/>
  <c r="I23" i="7"/>
  <c r="G23" i="7" s="1"/>
  <c r="H23" i="7"/>
  <c r="K20" i="7"/>
  <c r="J20" i="7"/>
  <c r="I20" i="7"/>
  <c r="H20" i="7"/>
  <c r="K17" i="7"/>
  <c r="K15" i="7" s="1"/>
  <c r="K50" i="7" s="1"/>
  <c r="J17" i="7"/>
  <c r="I17" i="7"/>
  <c r="H17" i="7"/>
  <c r="H15" i="7" s="1"/>
  <c r="G17" i="7"/>
  <c r="G16" i="7"/>
  <c r="I15" i="7"/>
  <c r="H50" i="7" l="1"/>
  <c r="G143" i="7"/>
  <c r="K142" i="7"/>
  <c r="G142" i="7" s="1"/>
  <c r="I50" i="7"/>
  <c r="G39" i="7"/>
  <c r="I33" i="7"/>
  <c r="G33" i="7" s="1"/>
  <c r="G93" i="7"/>
  <c r="G20" i="7"/>
  <c r="J15" i="7"/>
  <c r="J50" i="7" s="1"/>
  <c r="G49" i="7"/>
  <c r="G70" i="7"/>
  <c r="G133" i="7"/>
  <c r="H52" i="7"/>
  <c r="J64" i="7"/>
  <c r="I102" i="7"/>
  <c r="I100" i="7" s="1"/>
  <c r="I99" i="7" s="1"/>
  <c r="K120" i="7"/>
  <c r="G120" i="7" s="1"/>
  <c r="G135" i="7"/>
  <c r="I52" i="7"/>
  <c r="I87" i="7" s="1"/>
  <c r="H100" i="7"/>
  <c r="G121" i="7"/>
  <c r="I126" i="7"/>
  <c r="G126" i="7" s="1"/>
  <c r="K67" i="7"/>
  <c r="G83" i="7"/>
  <c r="H132" i="7"/>
  <c r="G132" i="7" s="1"/>
  <c r="G100" i="7" l="1"/>
  <c r="H99" i="7"/>
  <c r="G99" i="7" s="1"/>
  <c r="G50" i="7"/>
  <c r="G67" i="7"/>
  <c r="K64" i="7"/>
  <c r="J80" i="7"/>
  <c r="G80" i="7" s="1"/>
  <c r="G15" i="7"/>
  <c r="H87" i="7"/>
  <c r="G52" i="7"/>
  <c r="G102" i="7"/>
  <c r="G64" i="7" l="1"/>
  <c r="K87" i="7"/>
  <c r="J87" i="7"/>
  <c r="G87" i="7" s="1"/>
  <c r="I148" i="6" l="1"/>
  <c r="G146" i="6"/>
  <c r="G145" i="6"/>
  <c r="K144" i="6"/>
  <c r="J144" i="6"/>
  <c r="I144" i="6"/>
  <c r="H144" i="6"/>
  <c r="G144" i="6"/>
  <c r="J143" i="6"/>
  <c r="J142" i="6" s="1"/>
  <c r="I142" i="6"/>
  <c r="H142" i="6"/>
  <c r="G141" i="6"/>
  <c r="G140" i="6"/>
  <c r="G139" i="6"/>
  <c r="K138" i="6"/>
  <c r="J138" i="6"/>
  <c r="I138" i="6"/>
  <c r="H138" i="6"/>
  <c r="G138" i="6"/>
  <c r="G137" i="6"/>
  <c r="G136" i="6"/>
  <c r="K135" i="6"/>
  <c r="K133" i="6" s="1"/>
  <c r="K132" i="6" s="1"/>
  <c r="J135" i="6"/>
  <c r="J133" i="6" s="1"/>
  <c r="J132" i="6" s="1"/>
  <c r="I135" i="6"/>
  <c r="H135" i="6"/>
  <c r="G134" i="6"/>
  <c r="I133" i="6"/>
  <c r="H133" i="6"/>
  <c r="I132" i="6"/>
  <c r="G131" i="6"/>
  <c r="G130" i="6"/>
  <c r="G129" i="6"/>
  <c r="K128" i="6"/>
  <c r="J128" i="6"/>
  <c r="J126" i="6" s="1"/>
  <c r="I128" i="6"/>
  <c r="G128" i="6" s="1"/>
  <c r="H128" i="6"/>
  <c r="G127" i="6"/>
  <c r="K126" i="6"/>
  <c r="H126" i="6"/>
  <c r="G124" i="6"/>
  <c r="G123" i="6"/>
  <c r="K122" i="6"/>
  <c r="J122" i="6"/>
  <c r="G122" i="6" s="1"/>
  <c r="I122" i="6"/>
  <c r="H122" i="6"/>
  <c r="K121" i="6"/>
  <c r="K143" i="6" s="1"/>
  <c r="J121" i="6"/>
  <c r="J120" i="6"/>
  <c r="I120" i="6"/>
  <c r="H120" i="6"/>
  <c r="G119" i="6"/>
  <c r="G118" i="6"/>
  <c r="G117" i="6"/>
  <c r="K116" i="6"/>
  <c r="J116" i="6"/>
  <c r="G116" i="6" s="1"/>
  <c r="I116" i="6"/>
  <c r="H116" i="6"/>
  <c r="G115" i="6"/>
  <c r="G114" i="6"/>
  <c r="G113" i="6"/>
  <c r="G112" i="6"/>
  <c r="G111" i="6"/>
  <c r="G110" i="6"/>
  <c r="K109" i="6"/>
  <c r="J109" i="6"/>
  <c r="J102" i="6" s="1"/>
  <c r="J100" i="6" s="1"/>
  <c r="J99" i="6" s="1"/>
  <c r="I109" i="6"/>
  <c r="G109" i="6" s="1"/>
  <c r="H109" i="6"/>
  <c r="G108" i="6"/>
  <c r="G107" i="6"/>
  <c r="K106" i="6"/>
  <c r="J106" i="6"/>
  <c r="I106" i="6"/>
  <c r="H106" i="6"/>
  <c r="G106" i="6" s="1"/>
  <c r="G105" i="6"/>
  <c r="G104" i="6"/>
  <c r="K103" i="6"/>
  <c r="K102" i="6" s="1"/>
  <c r="K100" i="6" s="1"/>
  <c r="K99" i="6" s="1"/>
  <c r="J103" i="6"/>
  <c r="I103" i="6"/>
  <c r="H103" i="6"/>
  <c r="G103" i="6"/>
  <c r="H102" i="6"/>
  <c r="G101" i="6"/>
  <c r="G98" i="6"/>
  <c r="G97" i="6"/>
  <c r="G96" i="6"/>
  <c r="K95" i="6"/>
  <c r="K93" i="6" s="1"/>
  <c r="J95" i="6"/>
  <c r="I95" i="6"/>
  <c r="H95" i="6"/>
  <c r="H93" i="6" s="1"/>
  <c r="G95" i="6"/>
  <c r="G94" i="6"/>
  <c r="J93" i="6"/>
  <c r="I93" i="6"/>
  <c r="G91" i="6"/>
  <c r="G90" i="6"/>
  <c r="K89" i="6"/>
  <c r="J89" i="6"/>
  <c r="G89" i="6"/>
  <c r="J86" i="6"/>
  <c r="I86" i="6"/>
  <c r="H86" i="6"/>
  <c r="G86" i="6" s="1"/>
  <c r="G85" i="6"/>
  <c r="G84" i="6"/>
  <c r="K83" i="6"/>
  <c r="K86" i="6" s="1"/>
  <c r="G82" i="6"/>
  <c r="G81" i="6"/>
  <c r="H80" i="6"/>
  <c r="G79" i="6"/>
  <c r="K76" i="6"/>
  <c r="K70" i="6" s="1"/>
  <c r="J76" i="6"/>
  <c r="I76" i="6"/>
  <c r="H76" i="6"/>
  <c r="H70" i="6" s="1"/>
  <c r="G76" i="6"/>
  <c r="G75" i="6"/>
  <c r="G74" i="6"/>
  <c r="G73" i="6"/>
  <c r="G72" i="6"/>
  <c r="G71" i="6"/>
  <c r="J70" i="6"/>
  <c r="I70" i="6"/>
  <c r="G69" i="6"/>
  <c r="G68" i="6"/>
  <c r="G66" i="6"/>
  <c r="J65" i="6"/>
  <c r="I64" i="6"/>
  <c r="H64" i="6"/>
  <c r="G62" i="6"/>
  <c r="K60" i="6"/>
  <c r="J60" i="6"/>
  <c r="I60" i="6"/>
  <c r="H60" i="6"/>
  <c r="G60" i="6"/>
  <c r="K57" i="6"/>
  <c r="J57" i="6"/>
  <c r="I57" i="6"/>
  <c r="H57" i="6"/>
  <c r="K54" i="6"/>
  <c r="J54" i="6"/>
  <c r="J52" i="6" s="1"/>
  <c r="I54" i="6"/>
  <c r="H54" i="6"/>
  <c r="G53" i="6"/>
  <c r="K52" i="6"/>
  <c r="J49" i="6"/>
  <c r="I49" i="6"/>
  <c r="G49" i="6" s="1"/>
  <c r="H49" i="6"/>
  <c r="K48" i="6"/>
  <c r="K49" i="6" s="1"/>
  <c r="G48" i="6"/>
  <c r="G47" i="6"/>
  <c r="G46" i="6"/>
  <c r="G45" i="6"/>
  <c r="G44" i="6"/>
  <c r="H43" i="6"/>
  <c r="G42" i="6"/>
  <c r="K39" i="6"/>
  <c r="J39" i="6"/>
  <c r="I39" i="6"/>
  <c r="I33" i="6" s="1"/>
  <c r="H39" i="6"/>
  <c r="G38" i="6"/>
  <c r="G37" i="6"/>
  <c r="G36" i="6"/>
  <c r="G35" i="6"/>
  <c r="G34" i="6"/>
  <c r="K33" i="6"/>
  <c r="J33" i="6"/>
  <c r="G32" i="6"/>
  <c r="G31" i="6"/>
  <c r="K30" i="6"/>
  <c r="J43" i="6" s="1"/>
  <c r="G43" i="6" s="1"/>
  <c r="G30" i="6"/>
  <c r="G29" i="6"/>
  <c r="J28" i="6"/>
  <c r="G28" i="6"/>
  <c r="K27" i="6"/>
  <c r="J27" i="6"/>
  <c r="G27" i="6" s="1"/>
  <c r="I27" i="6"/>
  <c r="H27" i="6"/>
  <c r="G25" i="6"/>
  <c r="K23" i="6"/>
  <c r="J23" i="6"/>
  <c r="I23" i="6"/>
  <c r="H23" i="6"/>
  <c r="G23" i="6" s="1"/>
  <c r="K20" i="6"/>
  <c r="J20" i="6"/>
  <c r="I20" i="6"/>
  <c r="H20" i="6"/>
  <c r="K17" i="6"/>
  <c r="K15" i="6" s="1"/>
  <c r="K50" i="6" s="1"/>
  <c r="J17" i="6"/>
  <c r="I17" i="6"/>
  <c r="H17" i="6"/>
  <c r="G16" i="6"/>
  <c r="G39" i="6" l="1"/>
  <c r="H33" i="6"/>
  <c r="G33" i="6" s="1"/>
  <c r="G54" i="6"/>
  <c r="I52" i="6"/>
  <c r="I87" i="6" s="1"/>
  <c r="G143" i="6"/>
  <c r="K142" i="6"/>
  <c r="G20" i="6"/>
  <c r="I15" i="6"/>
  <c r="I50" i="6" s="1"/>
  <c r="G93" i="6"/>
  <c r="G142" i="6"/>
  <c r="H15" i="6"/>
  <c r="J15" i="6"/>
  <c r="J50" i="6" s="1"/>
  <c r="G17" i="6"/>
  <c r="G57" i="6"/>
  <c r="H52" i="6"/>
  <c r="G65" i="6"/>
  <c r="J64" i="6"/>
  <c r="G70" i="6"/>
  <c r="G120" i="6"/>
  <c r="G133" i="6"/>
  <c r="I102" i="6"/>
  <c r="I100" i="6" s="1"/>
  <c r="I99" i="6" s="1"/>
  <c r="K120" i="6"/>
  <c r="G135" i="6"/>
  <c r="H100" i="6"/>
  <c r="G121" i="6"/>
  <c r="I126" i="6"/>
  <c r="G126" i="6" s="1"/>
  <c r="K67" i="6"/>
  <c r="G83" i="6"/>
  <c r="H132" i="6"/>
  <c r="G132" i="6" s="1"/>
  <c r="G67" i="6" l="1"/>
  <c r="K64" i="6"/>
  <c r="J80" i="6"/>
  <c r="H87" i="6"/>
  <c r="G52" i="6"/>
  <c r="G15" i="6"/>
  <c r="H50" i="6"/>
  <c r="G50" i="6" s="1"/>
  <c r="G102" i="6"/>
  <c r="G100" i="6"/>
  <c r="H99" i="6"/>
  <c r="G99" i="6" s="1"/>
  <c r="G80" i="6" l="1"/>
  <c r="J87" i="6"/>
  <c r="G87" i="6" s="1"/>
  <c r="K87" i="6"/>
  <c r="G64" i="6"/>
  <c r="I148" i="5" l="1"/>
  <c r="G146" i="5"/>
  <c r="G145" i="5"/>
  <c r="K144" i="5"/>
  <c r="J144" i="5"/>
  <c r="I144" i="5"/>
  <c r="G144" i="5" s="1"/>
  <c r="H144" i="5"/>
  <c r="J143" i="5"/>
  <c r="J142" i="5" s="1"/>
  <c r="I142" i="5"/>
  <c r="H142" i="5"/>
  <c r="G141" i="5"/>
  <c r="G140" i="5"/>
  <c r="G139" i="5"/>
  <c r="K138" i="5"/>
  <c r="J138" i="5"/>
  <c r="I138" i="5"/>
  <c r="G138" i="5" s="1"/>
  <c r="H138" i="5"/>
  <c r="G137" i="5"/>
  <c r="G136" i="5"/>
  <c r="K135" i="5"/>
  <c r="J135" i="5"/>
  <c r="I135" i="5"/>
  <c r="I133" i="5" s="1"/>
  <c r="I132" i="5" s="1"/>
  <c r="H135" i="5"/>
  <c r="G135" i="5" s="1"/>
  <c r="G134" i="5"/>
  <c r="K133" i="5"/>
  <c r="J133" i="5"/>
  <c r="J132" i="5" s="1"/>
  <c r="K132" i="5"/>
  <c r="G131" i="5"/>
  <c r="G130" i="5"/>
  <c r="G129" i="5"/>
  <c r="K128" i="5"/>
  <c r="K126" i="5" s="1"/>
  <c r="J128" i="5"/>
  <c r="I128" i="5"/>
  <c r="H128" i="5"/>
  <c r="H126" i="5" s="1"/>
  <c r="G126" i="5" s="1"/>
  <c r="G128" i="5"/>
  <c r="G127" i="5"/>
  <c r="J126" i="5"/>
  <c r="I126" i="5"/>
  <c r="G124" i="5"/>
  <c r="G123" i="5"/>
  <c r="K122" i="5"/>
  <c r="J122" i="5"/>
  <c r="I122" i="5"/>
  <c r="H122" i="5"/>
  <c r="G122" i="5" s="1"/>
  <c r="K121" i="5"/>
  <c r="K143" i="5" s="1"/>
  <c r="K142" i="5" s="1"/>
  <c r="J121" i="5"/>
  <c r="G121" i="5"/>
  <c r="J120" i="5"/>
  <c r="I120" i="5"/>
  <c r="H120" i="5"/>
  <c r="G119" i="5"/>
  <c r="G118" i="5"/>
  <c r="G117" i="5"/>
  <c r="K116" i="5"/>
  <c r="J116" i="5"/>
  <c r="I116" i="5"/>
  <c r="H116" i="5"/>
  <c r="G116" i="5" s="1"/>
  <c r="G115" i="5"/>
  <c r="G114" i="5"/>
  <c r="G113" i="5"/>
  <c r="G112" i="5"/>
  <c r="G111" i="5"/>
  <c r="G110" i="5"/>
  <c r="K109" i="5"/>
  <c r="J109" i="5"/>
  <c r="I109" i="5"/>
  <c r="H109" i="5"/>
  <c r="G109" i="5"/>
  <c r="G108" i="5"/>
  <c r="G107" i="5"/>
  <c r="K106" i="5"/>
  <c r="J106" i="5"/>
  <c r="I106" i="5"/>
  <c r="H106" i="5"/>
  <c r="G106" i="5" s="1"/>
  <c r="G105" i="5"/>
  <c r="G104" i="5"/>
  <c r="K103" i="5"/>
  <c r="K102" i="5" s="1"/>
  <c r="K100" i="5" s="1"/>
  <c r="K99" i="5" s="1"/>
  <c r="J103" i="5"/>
  <c r="I103" i="5"/>
  <c r="I102" i="5" s="1"/>
  <c r="I100" i="5" s="1"/>
  <c r="I99" i="5" s="1"/>
  <c r="H103" i="5"/>
  <c r="J102" i="5"/>
  <c r="J100" i="5" s="1"/>
  <c r="J99" i="5" s="1"/>
  <c r="H102" i="5"/>
  <c r="G102" i="5" s="1"/>
  <c r="G101" i="5"/>
  <c r="H100" i="5"/>
  <c r="G100" i="5" s="1"/>
  <c r="G98" i="5"/>
  <c r="G97" i="5"/>
  <c r="G96" i="5"/>
  <c r="K95" i="5"/>
  <c r="J95" i="5"/>
  <c r="J93" i="5" s="1"/>
  <c r="I95" i="5"/>
  <c r="G95" i="5" s="1"/>
  <c r="H95" i="5"/>
  <c r="G94" i="5"/>
  <c r="K93" i="5"/>
  <c r="H93" i="5"/>
  <c r="G91" i="5"/>
  <c r="G90" i="5"/>
  <c r="K89" i="5"/>
  <c r="J89" i="5"/>
  <c r="G89" i="5" s="1"/>
  <c r="J86" i="5"/>
  <c r="I86" i="5"/>
  <c r="H86" i="5"/>
  <c r="G85" i="5"/>
  <c r="G84" i="5"/>
  <c r="G82" i="5"/>
  <c r="G81" i="5"/>
  <c r="H80" i="5"/>
  <c r="G79" i="5"/>
  <c r="K76" i="5"/>
  <c r="J76" i="5"/>
  <c r="J70" i="5" s="1"/>
  <c r="I76" i="5"/>
  <c r="G76" i="5" s="1"/>
  <c r="H76" i="5"/>
  <c r="G75" i="5"/>
  <c r="G74" i="5"/>
  <c r="G73" i="5"/>
  <c r="G72" i="5"/>
  <c r="G71" i="5"/>
  <c r="K70" i="5"/>
  <c r="H70" i="5"/>
  <c r="G69" i="5"/>
  <c r="G68" i="5"/>
  <c r="G66" i="5"/>
  <c r="J65" i="5"/>
  <c r="G65" i="5" s="1"/>
  <c r="I64" i="5"/>
  <c r="H64" i="5"/>
  <c r="H62" i="5"/>
  <c r="G62" i="5"/>
  <c r="K83" i="5" s="1"/>
  <c r="K60" i="5"/>
  <c r="J60" i="5"/>
  <c r="I60" i="5"/>
  <c r="H60" i="5"/>
  <c r="G60" i="5" s="1"/>
  <c r="K57" i="5"/>
  <c r="K52" i="5" s="1"/>
  <c r="J57" i="5"/>
  <c r="I57" i="5"/>
  <c r="H57" i="5"/>
  <c r="G57" i="5"/>
  <c r="K54" i="5"/>
  <c r="J54" i="5"/>
  <c r="I54" i="5"/>
  <c r="I52" i="5" s="1"/>
  <c r="H54" i="5"/>
  <c r="G54" i="5" s="1"/>
  <c r="G53" i="5"/>
  <c r="J52" i="5"/>
  <c r="J49" i="5"/>
  <c r="I49" i="5"/>
  <c r="H49" i="5"/>
  <c r="K48" i="5"/>
  <c r="G48" i="5" s="1"/>
  <c r="G47" i="5"/>
  <c r="G46" i="5"/>
  <c r="G45" i="5"/>
  <c r="G44" i="5"/>
  <c r="J43" i="5"/>
  <c r="G42" i="5"/>
  <c r="K39" i="5"/>
  <c r="K33" i="5" s="1"/>
  <c r="J39" i="5"/>
  <c r="I39" i="5"/>
  <c r="H39" i="5"/>
  <c r="H33" i="5" s="1"/>
  <c r="G39" i="5"/>
  <c r="G38" i="5"/>
  <c r="G37" i="5"/>
  <c r="G36" i="5"/>
  <c r="G35" i="5"/>
  <c r="G34" i="5"/>
  <c r="J33" i="5"/>
  <c r="I33" i="5"/>
  <c r="G32" i="5"/>
  <c r="G31" i="5"/>
  <c r="K30" i="5"/>
  <c r="G30" i="5"/>
  <c r="G29" i="5"/>
  <c r="J28" i="5"/>
  <c r="J27" i="5" s="1"/>
  <c r="K27" i="5"/>
  <c r="I27" i="5"/>
  <c r="H27" i="5"/>
  <c r="G25" i="5"/>
  <c r="K23" i="5"/>
  <c r="J23" i="5"/>
  <c r="I23" i="5"/>
  <c r="H23" i="5"/>
  <c r="G23" i="5"/>
  <c r="K20" i="5"/>
  <c r="J20" i="5"/>
  <c r="I20" i="5"/>
  <c r="H20" i="5"/>
  <c r="H15" i="5" s="1"/>
  <c r="K17" i="5"/>
  <c r="J17" i="5"/>
  <c r="J15" i="5" s="1"/>
  <c r="J50" i="5" s="1"/>
  <c r="I17" i="5"/>
  <c r="G17" i="5" s="1"/>
  <c r="H17" i="5"/>
  <c r="G16" i="5"/>
  <c r="K15" i="5"/>
  <c r="K50" i="5" s="1"/>
  <c r="G27" i="5" l="1"/>
  <c r="G33" i="5"/>
  <c r="H50" i="5"/>
  <c r="G50" i="5" s="1"/>
  <c r="K86" i="5"/>
  <c r="G86" i="5" s="1"/>
  <c r="G83" i="5"/>
  <c r="K67" i="5"/>
  <c r="G142" i="5"/>
  <c r="I15" i="5"/>
  <c r="I50" i="5" s="1"/>
  <c r="H52" i="5"/>
  <c r="I70" i="5"/>
  <c r="G70" i="5" s="1"/>
  <c r="I93" i="5"/>
  <c r="G93" i="5" s="1"/>
  <c r="G103" i="5"/>
  <c r="H133" i="5"/>
  <c r="G20" i="5"/>
  <c r="G28" i="5"/>
  <c r="H43" i="5"/>
  <c r="G43" i="5" s="1"/>
  <c r="K49" i="5"/>
  <c r="G49" i="5" s="1"/>
  <c r="J64" i="5"/>
  <c r="H99" i="5"/>
  <c r="G99" i="5" s="1"/>
  <c r="K120" i="5"/>
  <c r="G120" i="5" s="1"/>
  <c r="G143" i="5"/>
  <c r="G133" i="5" l="1"/>
  <c r="H132" i="5"/>
  <c r="G132" i="5" s="1"/>
  <c r="G52" i="5"/>
  <c r="H87" i="5"/>
  <c r="G15" i="5"/>
  <c r="G67" i="5"/>
  <c r="K64" i="5"/>
  <c r="K87" i="5" s="1"/>
  <c r="J80" i="5"/>
  <c r="G64" i="5"/>
  <c r="I87" i="5"/>
  <c r="G80" i="5" l="1"/>
  <c r="J87" i="5"/>
  <c r="G87" i="5" s="1"/>
  <c r="I148" i="3" l="1"/>
  <c r="G146" i="3"/>
  <c r="G145" i="3"/>
  <c r="K144" i="3"/>
  <c r="J144" i="3"/>
  <c r="I144" i="3"/>
  <c r="H144" i="3"/>
  <c r="G144" i="3"/>
  <c r="J143" i="3"/>
  <c r="J142" i="3" s="1"/>
  <c r="I142" i="3"/>
  <c r="H142" i="3"/>
  <c r="G141" i="3"/>
  <c r="G140" i="3"/>
  <c r="G139" i="3"/>
  <c r="K138" i="3"/>
  <c r="J138" i="3"/>
  <c r="I138" i="3"/>
  <c r="H138" i="3"/>
  <c r="G138" i="3"/>
  <c r="G137" i="3"/>
  <c r="G136" i="3"/>
  <c r="K135" i="3"/>
  <c r="K133" i="3" s="1"/>
  <c r="K132" i="3" s="1"/>
  <c r="J135" i="3"/>
  <c r="J133" i="3" s="1"/>
  <c r="J132" i="3" s="1"/>
  <c r="I135" i="3"/>
  <c r="H135" i="3"/>
  <c r="G134" i="3"/>
  <c r="I133" i="3"/>
  <c r="H133" i="3"/>
  <c r="G133" i="3" s="1"/>
  <c r="I132" i="3"/>
  <c r="G131" i="3"/>
  <c r="G130" i="3"/>
  <c r="G129" i="3"/>
  <c r="K128" i="3"/>
  <c r="J128" i="3"/>
  <c r="J126" i="3" s="1"/>
  <c r="I128" i="3"/>
  <c r="G128" i="3" s="1"/>
  <c r="H128" i="3"/>
  <c r="G127" i="3"/>
  <c r="K126" i="3"/>
  <c r="H126" i="3"/>
  <c r="G124" i="3"/>
  <c r="G123" i="3"/>
  <c r="K122" i="3"/>
  <c r="J122" i="3"/>
  <c r="G122" i="3" s="1"/>
  <c r="I122" i="3"/>
  <c r="H122" i="3"/>
  <c r="K121" i="3"/>
  <c r="K143" i="3" s="1"/>
  <c r="J121" i="3"/>
  <c r="J120" i="3"/>
  <c r="I120" i="3"/>
  <c r="H120" i="3"/>
  <c r="G119" i="3"/>
  <c r="G118" i="3"/>
  <c r="G117" i="3"/>
  <c r="K116" i="3"/>
  <c r="J116" i="3"/>
  <c r="G116" i="3" s="1"/>
  <c r="I116" i="3"/>
  <c r="H116" i="3"/>
  <c r="G115" i="3"/>
  <c r="G114" i="3"/>
  <c r="G113" i="3"/>
  <c r="G112" i="3"/>
  <c r="G111" i="3"/>
  <c r="G110" i="3"/>
  <c r="K109" i="3"/>
  <c r="J109" i="3"/>
  <c r="J102" i="3" s="1"/>
  <c r="J100" i="3" s="1"/>
  <c r="J99" i="3" s="1"/>
  <c r="I109" i="3"/>
  <c r="G109" i="3" s="1"/>
  <c r="H109" i="3"/>
  <c r="G108" i="3"/>
  <c r="G107" i="3"/>
  <c r="K106" i="3"/>
  <c r="J106" i="3"/>
  <c r="I106" i="3"/>
  <c r="H106" i="3"/>
  <c r="G106" i="3" s="1"/>
  <c r="G105" i="3"/>
  <c r="G104" i="3"/>
  <c r="K103" i="3"/>
  <c r="K102" i="3" s="1"/>
  <c r="K100" i="3" s="1"/>
  <c r="K99" i="3" s="1"/>
  <c r="J103" i="3"/>
  <c r="I103" i="3"/>
  <c r="H103" i="3"/>
  <c r="G103" i="3"/>
  <c r="H102" i="3"/>
  <c r="G101" i="3"/>
  <c r="G98" i="3"/>
  <c r="G97" i="3"/>
  <c r="G96" i="3"/>
  <c r="K95" i="3"/>
  <c r="K93" i="3" s="1"/>
  <c r="J95" i="3"/>
  <c r="I95" i="3"/>
  <c r="H95" i="3"/>
  <c r="H93" i="3" s="1"/>
  <c r="G95" i="3"/>
  <c r="G94" i="3"/>
  <c r="J93" i="3"/>
  <c r="I93" i="3"/>
  <c r="G91" i="3"/>
  <c r="G90" i="3"/>
  <c r="J86" i="3"/>
  <c r="I86" i="3"/>
  <c r="H86" i="3"/>
  <c r="G85" i="3"/>
  <c r="G84" i="3"/>
  <c r="G82" i="3"/>
  <c r="G81" i="3"/>
  <c r="H80" i="3"/>
  <c r="G79" i="3"/>
  <c r="K76" i="3"/>
  <c r="J76" i="3"/>
  <c r="I76" i="3"/>
  <c r="H76" i="3"/>
  <c r="G76" i="3"/>
  <c r="G75" i="3"/>
  <c r="G74" i="3"/>
  <c r="J73" i="3"/>
  <c r="G72" i="3"/>
  <c r="G71" i="3"/>
  <c r="I70" i="3"/>
  <c r="H70" i="3"/>
  <c r="G69" i="3"/>
  <c r="G68" i="3"/>
  <c r="G66" i="3"/>
  <c r="J65" i="3"/>
  <c r="J64" i="3" s="1"/>
  <c r="G65" i="3"/>
  <c r="I64" i="3"/>
  <c r="H64" i="3"/>
  <c r="G62" i="3"/>
  <c r="K60" i="3"/>
  <c r="J60" i="3"/>
  <c r="I60" i="3"/>
  <c r="G60" i="3" s="1"/>
  <c r="H60" i="3"/>
  <c r="K57" i="3"/>
  <c r="J57" i="3"/>
  <c r="I57" i="3"/>
  <c r="H57" i="3"/>
  <c r="K54" i="3"/>
  <c r="K52" i="3" s="1"/>
  <c r="J54" i="3"/>
  <c r="I54" i="3"/>
  <c r="H54" i="3"/>
  <c r="H52" i="3" s="1"/>
  <c r="G54" i="3"/>
  <c r="G53" i="3"/>
  <c r="I52" i="3"/>
  <c r="I87" i="3" s="1"/>
  <c r="K49" i="3"/>
  <c r="J49" i="3"/>
  <c r="I49" i="3"/>
  <c r="H49" i="3"/>
  <c r="G49" i="3"/>
  <c r="K48" i="3"/>
  <c r="G48" i="3"/>
  <c r="G47" i="3"/>
  <c r="G46" i="3"/>
  <c r="G45" i="3"/>
  <c r="G44" i="3"/>
  <c r="H43" i="3"/>
  <c r="G42" i="3"/>
  <c r="K39" i="3"/>
  <c r="K33" i="3" s="1"/>
  <c r="J39" i="3"/>
  <c r="I39" i="3"/>
  <c r="H39" i="3"/>
  <c r="G38" i="3"/>
  <c r="G37" i="3"/>
  <c r="G36" i="3"/>
  <c r="G35" i="3"/>
  <c r="G34" i="3"/>
  <c r="I33" i="3"/>
  <c r="H33" i="3"/>
  <c r="G32" i="3"/>
  <c r="G31" i="3"/>
  <c r="K30" i="3"/>
  <c r="G29" i="3"/>
  <c r="J28" i="3"/>
  <c r="J27" i="3" s="1"/>
  <c r="G28" i="3"/>
  <c r="I27" i="3"/>
  <c r="H27" i="3"/>
  <c r="G25" i="3"/>
  <c r="K23" i="3"/>
  <c r="J23" i="3"/>
  <c r="G23" i="3" s="1"/>
  <c r="I23" i="3"/>
  <c r="H23" i="3"/>
  <c r="K20" i="3"/>
  <c r="K15" i="3" s="1"/>
  <c r="J20" i="3"/>
  <c r="I20" i="3"/>
  <c r="H20" i="3"/>
  <c r="G20" i="3"/>
  <c r="K17" i="3"/>
  <c r="J17" i="3"/>
  <c r="I17" i="3"/>
  <c r="I15" i="3" s="1"/>
  <c r="I50" i="3" s="1"/>
  <c r="H17" i="3"/>
  <c r="G16" i="3"/>
  <c r="J15" i="3"/>
  <c r="G17" i="3" l="1"/>
  <c r="H15" i="3"/>
  <c r="G57" i="3"/>
  <c r="J52" i="3"/>
  <c r="G120" i="3"/>
  <c r="G33" i="3"/>
  <c r="H87" i="3"/>
  <c r="G143" i="3"/>
  <c r="K142" i="3"/>
  <c r="G30" i="3"/>
  <c r="K27" i="3"/>
  <c r="K50" i="3" s="1"/>
  <c r="J43" i="3"/>
  <c r="J50" i="3" s="1"/>
  <c r="J33" i="3"/>
  <c r="G39" i="3"/>
  <c r="G73" i="3"/>
  <c r="K83" i="3" s="1"/>
  <c r="J70" i="3"/>
  <c r="J89" i="3"/>
  <c r="K73" i="3"/>
  <c r="G93" i="3"/>
  <c r="G102" i="3"/>
  <c r="G142" i="3"/>
  <c r="I102" i="3"/>
  <c r="I100" i="3" s="1"/>
  <c r="I99" i="3" s="1"/>
  <c r="K120" i="3"/>
  <c r="G135" i="3"/>
  <c r="H100" i="3"/>
  <c r="G121" i="3"/>
  <c r="I126" i="3"/>
  <c r="G126" i="3" s="1"/>
  <c r="H132" i="3"/>
  <c r="G132" i="3" s="1"/>
  <c r="G43" i="3" l="1"/>
  <c r="H50" i="3"/>
  <c r="G50" i="3" s="1"/>
  <c r="G15" i="3"/>
  <c r="K86" i="3"/>
  <c r="G86" i="3" s="1"/>
  <c r="G83" i="3"/>
  <c r="K89" i="3"/>
  <c r="G89" i="3" s="1"/>
  <c r="K67" i="3"/>
  <c r="K70" i="3"/>
  <c r="G70" i="3" s="1"/>
  <c r="G27" i="3"/>
  <c r="G100" i="3"/>
  <c r="H99" i="3"/>
  <c r="G99" i="3" s="1"/>
  <c r="G52" i="3"/>
  <c r="G67" i="3" l="1"/>
  <c r="K64" i="3"/>
  <c r="J80" i="3"/>
  <c r="G80" i="3" l="1"/>
  <c r="J87" i="3"/>
  <c r="G64" i="3"/>
  <c r="K87" i="3"/>
  <c r="G87" i="3" l="1"/>
  <c r="I148" i="2" l="1"/>
  <c r="G146" i="2"/>
  <c r="G145" i="2"/>
  <c r="K144" i="2"/>
  <c r="J144" i="2"/>
  <c r="I144" i="2"/>
  <c r="H144" i="2"/>
  <c r="G144" i="2" s="1"/>
  <c r="J143" i="2"/>
  <c r="J142" i="2" s="1"/>
  <c r="I142" i="2"/>
  <c r="H142" i="2"/>
  <c r="G141" i="2"/>
  <c r="G140" i="2"/>
  <c r="G139" i="2"/>
  <c r="K138" i="2"/>
  <c r="J138" i="2"/>
  <c r="I138" i="2"/>
  <c r="H138" i="2"/>
  <c r="G138" i="2" s="1"/>
  <c r="G137" i="2"/>
  <c r="G136" i="2"/>
  <c r="K135" i="2"/>
  <c r="K133" i="2" s="1"/>
  <c r="K132" i="2" s="1"/>
  <c r="J135" i="2"/>
  <c r="I135" i="2"/>
  <c r="H135" i="2"/>
  <c r="H133" i="2" s="1"/>
  <c r="G135" i="2"/>
  <c r="G134" i="2"/>
  <c r="J133" i="2"/>
  <c r="I133" i="2"/>
  <c r="I132" i="2" s="1"/>
  <c r="J132" i="2"/>
  <c r="G131" i="2"/>
  <c r="G130" i="2"/>
  <c r="G129" i="2"/>
  <c r="K128" i="2"/>
  <c r="K126" i="2" s="1"/>
  <c r="J128" i="2"/>
  <c r="J126" i="2" s="1"/>
  <c r="I128" i="2"/>
  <c r="H128" i="2"/>
  <c r="G127" i="2"/>
  <c r="I126" i="2"/>
  <c r="H126" i="2"/>
  <c r="G126" i="2" s="1"/>
  <c r="G124" i="2"/>
  <c r="G123" i="2"/>
  <c r="K122" i="2"/>
  <c r="J122" i="2"/>
  <c r="I122" i="2"/>
  <c r="H122" i="2"/>
  <c r="G122" i="2"/>
  <c r="K121" i="2"/>
  <c r="K143" i="2" s="1"/>
  <c r="J121" i="2"/>
  <c r="J120" i="2" s="1"/>
  <c r="G120" i="2" s="1"/>
  <c r="G121" i="2"/>
  <c r="K120" i="2"/>
  <c r="I120" i="2"/>
  <c r="H120" i="2"/>
  <c r="G119" i="2"/>
  <c r="G118" i="2"/>
  <c r="G117" i="2"/>
  <c r="K116" i="2"/>
  <c r="J116" i="2"/>
  <c r="I116" i="2"/>
  <c r="H116" i="2"/>
  <c r="G116" i="2"/>
  <c r="G115" i="2"/>
  <c r="G114" i="2"/>
  <c r="G113" i="2"/>
  <c r="G112" i="2"/>
  <c r="G111" i="2"/>
  <c r="G110" i="2"/>
  <c r="K109" i="2"/>
  <c r="K102" i="2" s="1"/>
  <c r="K100" i="2" s="1"/>
  <c r="K99" i="2" s="1"/>
  <c r="J109" i="2"/>
  <c r="J102" i="2" s="1"/>
  <c r="J100" i="2" s="1"/>
  <c r="J99" i="2" s="1"/>
  <c r="I109" i="2"/>
  <c r="H109" i="2"/>
  <c r="G108" i="2"/>
  <c r="G107" i="2"/>
  <c r="K106" i="2"/>
  <c r="J106" i="2"/>
  <c r="I106" i="2"/>
  <c r="G106" i="2" s="1"/>
  <c r="H106" i="2"/>
  <c r="G105" i="2"/>
  <c r="G104" i="2"/>
  <c r="K103" i="2"/>
  <c r="J103" i="2"/>
  <c r="I103" i="2"/>
  <c r="H103" i="2"/>
  <c r="G103" i="2" s="1"/>
  <c r="I102" i="2"/>
  <c r="I100" i="2" s="1"/>
  <c r="I99" i="2" s="1"/>
  <c r="G101" i="2"/>
  <c r="G98" i="2"/>
  <c r="G97" i="2"/>
  <c r="G96" i="2"/>
  <c r="K95" i="2"/>
  <c r="J95" i="2"/>
  <c r="I95" i="2"/>
  <c r="I93" i="2" s="1"/>
  <c r="H95" i="2"/>
  <c r="H93" i="2" s="1"/>
  <c r="G93" i="2" s="1"/>
  <c r="G94" i="2"/>
  <c r="K93" i="2"/>
  <c r="J93" i="2"/>
  <c r="G91" i="2"/>
  <c r="G90" i="2"/>
  <c r="J89" i="2"/>
  <c r="J86" i="2"/>
  <c r="I86" i="2"/>
  <c r="H86" i="2"/>
  <c r="G85" i="2"/>
  <c r="G84" i="2"/>
  <c r="G82" i="2"/>
  <c r="G81" i="2"/>
  <c r="H80" i="2"/>
  <c r="G79" i="2"/>
  <c r="K76" i="2"/>
  <c r="J76" i="2"/>
  <c r="I76" i="2"/>
  <c r="H76" i="2"/>
  <c r="G76" i="2" s="1"/>
  <c r="G75" i="2"/>
  <c r="G74" i="2"/>
  <c r="K73" i="2"/>
  <c r="K89" i="2" s="1"/>
  <c r="G89" i="2" s="1"/>
  <c r="J73" i="2"/>
  <c r="G73" i="2" s="1"/>
  <c r="G72" i="2"/>
  <c r="G71" i="2"/>
  <c r="J70" i="2"/>
  <c r="I70" i="2"/>
  <c r="H70" i="2"/>
  <c r="G69" i="2"/>
  <c r="G68" i="2"/>
  <c r="G66" i="2"/>
  <c r="J65" i="2"/>
  <c r="J64" i="2" s="1"/>
  <c r="G65" i="2"/>
  <c r="I64" i="2"/>
  <c r="H64" i="2"/>
  <c r="J62" i="2"/>
  <c r="G62" i="2"/>
  <c r="K83" i="2" s="1"/>
  <c r="K60" i="2"/>
  <c r="J60" i="2"/>
  <c r="I60" i="2"/>
  <c r="H60" i="2"/>
  <c r="G60" i="2"/>
  <c r="K57" i="2"/>
  <c r="J57" i="2"/>
  <c r="I57" i="2"/>
  <c r="H57" i="2"/>
  <c r="H52" i="2" s="1"/>
  <c r="K54" i="2"/>
  <c r="J54" i="2"/>
  <c r="J52" i="2" s="1"/>
  <c r="I54" i="2"/>
  <c r="I52" i="2" s="1"/>
  <c r="I87" i="2" s="1"/>
  <c r="H54" i="2"/>
  <c r="G54" i="2" s="1"/>
  <c r="G53" i="2"/>
  <c r="K52" i="2"/>
  <c r="J49" i="2"/>
  <c r="I49" i="2"/>
  <c r="H49" i="2"/>
  <c r="K48" i="2"/>
  <c r="K49" i="2" s="1"/>
  <c r="G48" i="2"/>
  <c r="G47" i="2"/>
  <c r="G46" i="2"/>
  <c r="G45" i="2"/>
  <c r="G44" i="2"/>
  <c r="G42" i="2"/>
  <c r="K39" i="2"/>
  <c r="J39" i="2"/>
  <c r="I39" i="2"/>
  <c r="I33" i="2" s="1"/>
  <c r="H39" i="2"/>
  <c r="H33" i="2" s="1"/>
  <c r="G38" i="2"/>
  <c r="G37" i="2"/>
  <c r="G36" i="2"/>
  <c r="G35" i="2"/>
  <c r="G34" i="2"/>
  <c r="K33" i="2"/>
  <c r="J33" i="2"/>
  <c r="G32" i="2"/>
  <c r="G31" i="2"/>
  <c r="K30" i="2"/>
  <c r="J43" i="2" s="1"/>
  <c r="G30" i="2"/>
  <c r="G29" i="2"/>
  <c r="J28" i="2"/>
  <c r="H43" i="2" s="1"/>
  <c r="G28" i="2"/>
  <c r="K27" i="2"/>
  <c r="J27" i="2"/>
  <c r="G27" i="2" s="1"/>
  <c r="I27" i="2"/>
  <c r="H27" i="2"/>
  <c r="G25" i="2"/>
  <c r="K23" i="2"/>
  <c r="J23" i="2"/>
  <c r="I23" i="2"/>
  <c r="H23" i="2"/>
  <c r="G23" i="2" s="1"/>
  <c r="K20" i="2"/>
  <c r="J20" i="2"/>
  <c r="I20" i="2"/>
  <c r="G20" i="2" s="1"/>
  <c r="H20" i="2"/>
  <c r="K17" i="2"/>
  <c r="K15" i="2" s="1"/>
  <c r="K50" i="2" s="1"/>
  <c r="J17" i="2"/>
  <c r="J15" i="2" s="1"/>
  <c r="I17" i="2"/>
  <c r="H17" i="2"/>
  <c r="G16" i="2"/>
  <c r="H15" i="2"/>
  <c r="H50" i="2" s="1"/>
  <c r="K86" i="2" l="1"/>
  <c r="G86" i="2" s="1"/>
  <c r="G83" i="2"/>
  <c r="K67" i="2"/>
  <c r="G33" i="2"/>
  <c r="G49" i="2"/>
  <c r="G52" i="2"/>
  <c r="H87" i="2"/>
  <c r="G133" i="2"/>
  <c r="H132" i="2"/>
  <c r="G132" i="2" s="1"/>
  <c r="K142" i="2"/>
  <c r="G142" i="2" s="1"/>
  <c r="G143" i="2"/>
  <c r="J50" i="2"/>
  <c r="G43" i="2"/>
  <c r="G17" i="2"/>
  <c r="G109" i="2"/>
  <c r="G128" i="2"/>
  <c r="G39" i="2"/>
  <c r="G57" i="2"/>
  <c r="K70" i="2"/>
  <c r="G70" i="2" s="1"/>
  <c r="G95" i="2"/>
  <c r="H102" i="2"/>
  <c r="I15" i="2"/>
  <c r="I50" i="2" s="1"/>
  <c r="G50" i="2" s="1"/>
  <c r="G15" i="2" l="1"/>
  <c r="J80" i="2"/>
  <c r="G67" i="2"/>
  <c r="K64" i="2"/>
  <c r="G102" i="2"/>
  <c r="H100" i="2"/>
  <c r="G100" i="2" l="1"/>
  <c r="H99" i="2"/>
  <c r="G99" i="2" s="1"/>
  <c r="G80" i="2"/>
  <c r="J87" i="2"/>
  <c r="K87" i="2"/>
  <c r="G64" i="2"/>
  <c r="G87" i="2" l="1"/>
  <c r="I148" i="1" l="1"/>
  <c r="G146" i="1"/>
  <c r="G145" i="1"/>
  <c r="K144" i="1"/>
  <c r="J144" i="1"/>
  <c r="I144" i="1"/>
  <c r="H144" i="1"/>
  <c r="G144" i="1" s="1"/>
  <c r="K143" i="1"/>
  <c r="K142" i="1" s="1"/>
  <c r="J143" i="1"/>
  <c r="J142" i="1" s="1"/>
  <c r="G143" i="1"/>
  <c r="I142" i="1"/>
  <c r="H142" i="1"/>
  <c r="G142" i="1" s="1"/>
  <c r="G141" i="1"/>
  <c r="G140" i="1"/>
  <c r="G139" i="1"/>
  <c r="K138" i="1"/>
  <c r="J138" i="1"/>
  <c r="I138" i="1"/>
  <c r="H138" i="1"/>
  <c r="G138" i="1" s="1"/>
  <c r="G137" i="1"/>
  <c r="G136" i="1"/>
  <c r="K135" i="1"/>
  <c r="K133" i="1" s="1"/>
  <c r="K132" i="1" s="1"/>
  <c r="J135" i="1"/>
  <c r="I135" i="1"/>
  <c r="H135" i="1"/>
  <c r="H133" i="1" s="1"/>
  <c r="G135" i="1"/>
  <c r="G134" i="1"/>
  <c r="J133" i="1"/>
  <c r="I133" i="1"/>
  <c r="I132" i="1" s="1"/>
  <c r="J132" i="1"/>
  <c r="G131" i="1"/>
  <c r="G130" i="1"/>
  <c r="G129" i="1"/>
  <c r="K128" i="1"/>
  <c r="K126" i="1" s="1"/>
  <c r="J128" i="1"/>
  <c r="J126" i="1" s="1"/>
  <c r="I128" i="1"/>
  <c r="H128" i="1"/>
  <c r="G127" i="1"/>
  <c r="I126" i="1"/>
  <c r="H126" i="1"/>
  <c r="G126" i="1" s="1"/>
  <c r="G124" i="1"/>
  <c r="G123" i="1"/>
  <c r="K122" i="1"/>
  <c r="J122" i="1"/>
  <c r="I122" i="1"/>
  <c r="H122" i="1"/>
  <c r="G122" i="1"/>
  <c r="K121" i="1"/>
  <c r="J121" i="1"/>
  <c r="J120" i="1" s="1"/>
  <c r="G120" i="1" s="1"/>
  <c r="G121" i="1"/>
  <c r="K120" i="1"/>
  <c r="I120" i="1"/>
  <c r="H120" i="1"/>
  <c r="G119" i="1"/>
  <c r="G118" i="1"/>
  <c r="G117" i="1"/>
  <c r="K116" i="1"/>
  <c r="J116" i="1"/>
  <c r="I116" i="1"/>
  <c r="H116" i="1"/>
  <c r="G116" i="1"/>
  <c r="G115" i="1"/>
  <c r="G114" i="1"/>
  <c r="G113" i="1"/>
  <c r="G112" i="1"/>
  <c r="G111" i="1"/>
  <c r="G110" i="1"/>
  <c r="K109" i="1"/>
  <c r="K102" i="1" s="1"/>
  <c r="K100" i="1" s="1"/>
  <c r="K99" i="1" s="1"/>
  <c r="J109" i="1"/>
  <c r="G109" i="1" s="1"/>
  <c r="I109" i="1"/>
  <c r="H109" i="1"/>
  <c r="G108" i="1"/>
  <c r="G107" i="1"/>
  <c r="K106" i="1"/>
  <c r="J106" i="1"/>
  <c r="I106" i="1"/>
  <c r="G106" i="1" s="1"/>
  <c r="H106" i="1"/>
  <c r="G105" i="1"/>
  <c r="G104" i="1"/>
  <c r="K103" i="1"/>
  <c r="J103" i="1"/>
  <c r="I103" i="1"/>
  <c r="H103" i="1"/>
  <c r="G103" i="1" s="1"/>
  <c r="I102" i="1"/>
  <c r="I100" i="1" s="1"/>
  <c r="I99" i="1" s="1"/>
  <c r="G101" i="1"/>
  <c r="G98" i="1"/>
  <c r="G97" i="1"/>
  <c r="G96" i="1"/>
  <c r="K95" i="1"/>
  <c r="J95" i="1"/>
  <c r="I95" i="1"/>
  <c r="I93" i="1" s="1"/>
  <c r="H95" i="1"/>
  <c r="G95" i="1" s="1"/>
  <c r="G94" i="1"/>
  <c r="K93" i="1"/>
  <c r="J93" i="1"/>
  <c r="G91" i="1"/>
  <c r="G90" i="1"/>
  <c r="J89" i="1"/>
  <c r="J86" i="1"/>
  <c r="I86" i="1"/>
  <c r="H86" i="1"/>
  <c r="G85" i="1"/>
  <c r="G84" i="1"/>
  <c r="G82" i="1"/>
  <c r="G81" i="1"/>
  <c r="H80" i="1"/>
  <c r="G79" i="1"/>
  <c r="K76" i="1"/>
  <c r="J76" i="1"/>
  <c r="I76" i="1"/>
  <c r="H76" i="1"/>
  <c r="G76" i="1" s="1"/>
  <c r="G75" i="1"/>
  <c r="G74" i="1"/>
  <c r="K73" i="1"/>
  <c r="J73" i="1"/>
  <c r="G72" i="1"/>
  <c r="G71" i="1"/>
  <c r="J70" i="1"/>
  <c r="I70" i="1"/>
  <c r="G69" i="1"/>
  <c r="G68" i="1"/>
  <c r="G66" i="1"/>
  <c r="J65" i="1"/>
  <c r="J64" i="1" s="1"/>
  <c r="G65" i="1"/>
  <c r="I64" i="1"/>
  <c r="H64" i="1"/>
  <c r="J62" i="1"/>
  <c r="J60" i="1" s="1"/>
  <c r="G62" i="1"/>
  <c r="K60" i="1"/>
  <c r="K52" i="1" s="1"/>
  <c r="I60" i="1"/>
  <c r="H60" i="1"/>
  <c r="K57" i="1"/>
  <c r="J57" i="1"/>
  <c r="I57" i="1"/>
  <c r="H57" i="1"/>
  <c r="K54" i="1"/>
  <c r="J54" i="1"/>
  <c r="I54" i="1"/>
  <c r="H54" i="1"/>
  <c r="G53" i="1"/>
  <c r="J49" i="1"/>
  <c r="I49" i="1"/>
  <c r="H49" i="1"/>
  <c r="K48" i="1"/>
  <c r="K49" i="1" s="1"/>
  <c r="G48" i="1"/>
  <c r="G47" i="1"/>
  <c r="G46" i="1"/>
  <c r="G45" i="1"/>
  <c r="G44" i="1"/>
  <c r="H43" i="1"/>
  <c r="G42" i="1"/>
  <c r="K39" i="1"/>
  <c r="J39" i="1"/>
  <c r="I39" i="1"/>
  <c r="I33" i="1" s="1"/>
  <c r="H39" i="1"/>
  <c r="G38" i="1"/>
  <c r="G37" i="1"/>
  <c r="G36" i="1"/>
  <c r="G35" i="1"/>
  <c r="G34" i="1"/>
  <c r="K33" i="1"/>
  <c r="J33" i="1"/>
  <c r="G32" i="1"/>
  <c r="G31" i="1"/>
  <c r="K30" i="1"/>
  <c r="J43" i="1" s="1"/>
  <c r="G43" i="1" s="1"/>
  <c r="G30" i="1"/>
  <c r="G29" i="1"/>
  <c r="J28" i="1"/>
  <c r="G28" i="1"/>
  <c r="K27" i="1"/>
  <c r="J27" i="1"/>
  <c r="G27" i="1" s="1"/>
  <c r="I27" i="1"/>
  <c r="H27" i="1"/>
  <c r="G25" i="1"/>
  <c r="K23" i="1"/>
  <c r="J23" i="1"/>
  <c r="I23" i="1"/>
  <c r="H23" i="1"/>
  <c r="G23" i="1" s="1"/>
  <c r="K20" i="1"/>
  <c r="J20" i="1"/>
  <c r="I20" i="1"/>
  <c r="H20" i="1"/>
  <c r="K17" i="1"/>
  <c r="K15" i="1" s="1"/>
  <c r="K50" i="1" s="1"/>
  <c r="J17" i="1"/>
  <c r="I17" i="1"/>
  <c r="H17" i="1"/>
  <c r="G16" i="1"/>
  <c r="H15" i="1"/>
  <c r="G20" i="1" l="1"/>
  <c r="I15" i="1"/>
  <c r="I50" i="1" s="1"/>
  <c r="G15" i="1"/>
  <c r="J15" i="1"/>
  <c r="J50" i="1" s="1"/>
  <c r="G17" i="1"/>
  <c r="G57" i="1"/>
  <c r="H52" i="1"/>
  <c r="G60" i="1"/>
  <c r="K83" i="1"/>
  <c r="K70" i="1"/>
  <c r="K89" i="1"/>
  <c r="G89" i="1" s="1"/>
  <c r="G73" i="1"/>
  <c r="G39" i="1"/>
  <c r="H33" i="1"/>
  <c r="G33" i="1" s="1"/>
  <c r="G54" i="1"/>
  <c r="I52" i="1"/>
  <c r="I87" i="1" s="1"/>
  <c r="G49" i="1"/>
  <c r="J52" i="1"/>
  <c r="H70" i="1"/>
  <c r="G133" i="1"/>
  <c r="H132" i="1"/>
  <c r="G132" i="1" s="1"/>
  <c r="J102" i="1"/>
  <c r="J100" i="1" s="1"/>
  <c r="J99" i="1" s="1"/>
  <c r="G128" i="1"/>
  <c r="H93" i="1"/>
  <c r="G93" i="1" s="1"/>
  <c r="H102" i="1"/>
  <c r="K86" i="1" l="1"/>
  <c r="G86" i="1" s="1"/>
  <c r="G83" i="1"/>
  <c r="K67" i="1"/>
  <c r="H50" i="1"/>
  <c r="G50" i="1" s="1"/>
  <c r="G70" i="1"/>
  <c r="G102" i="1"/>
  <c r="H100" i="1"/>
  <c r="G52" i="1"/>
  <c r="H87" i="1"/>
  <c r="G100" i="1" l="1"/>
  <c r="H99" i="1"/>
  <c r="G99" i="1" s="1"/>
  <c r="J80" i="1"/>
  <c r="G67" i="1"/>
  <c r="K64" i="1"/>
  <c r="G80" i="1" l="1"/>
  <c r="J87" i="1"/>
  <c r="K87" i="1"/>
  <c r="G64" i="1"/>
  <c r="G87" i="1" l="1"/>
  <c r="K85" i="17" l="1"/>
  <c r="J85" i="17"/>
  <c r="J86" i="17" s="1"/>
  <c r="K73" i="17"/>
  <c r="K89" i="17" s="1"/>
  <c r="J73" i="17"/>
  <c r="J62" i="17"/>
  <c r="J60" i="17" s="1"/>
  <c r="H62" i="17"/>
  <c r="H80" i="17" s="1"/>
  <c r="J25" i="16"/>
  <c r="J23" i="16" s="1"/>
  <c r="H25" i="16"/>
  <c r="J28" i="16" s="1"/>
  <c r="G28" i="16" s="1"/>
  <c r="K85" i="16"/>
  <c r="J85" i="16"/>
  <c r="J62" i="16"/>
  <c r="J60" i="16" s="1"/>
  <c r="H62" i="16"/>
  <c r="H80" i="16" s="1"/>
  <c r="K73" i="16"/>
  <c r="J73" i="16"/>
  <c r="J89" i="16" s="1"/>
  <c r="K48" i="16"/>
  <c r="J48" i="16"/>
  <c r="K36" i="16"/>
  <c r="K33" i="16" s="1"/>
  <c r="J36" i="16"/>
  <c r="J121" i="16" s="1"/>
  <c r="J143" i="16" s="1"/>
  <c r="F151" i="17"/>
  <c r="I148" i="17"/>
  <c r="F148" i="17"/>
  <c r="G146" i="17"/>
  <c r="G145" i="17"/>
  <c r="K144" i="17"/>
  <c r="J144" i="17"/>
  <c r="I144" i="17"/>
  <c r="G144" i="17" s="1"/>
  <c r="H144" i="17"/>
  <c r="H142" i="17"/>
  <c r="G141" i="17"/>
  <c r="G140" i="17"/>
  <c r="G139" i="17"/>
  <c r="K138" i="17"/>
  <c r="J138" i="17"/>
  <c r="I138" i="17"/>
  <c r="G138" i="17" s="1"/>
  <c r="H138" i="17"/>
  <c r="G137" i="17"/>
  <c r="G136" i="17"/>
  <c r="K135" i="17"/>
  <c r="K133" i="17" s="1"/>
  <c r="K132" i="17" s="1"/>
  <c r="J135" i="17"/>
  <c r="I135" i="17"/>
  <c r="I133" i="17" s="1"/>
  <c r="H135" i="17"/>
  <c r="G134" i="17"/>
  <c r="J133" i="17"/>
  <c r="G131" i="17"/>
  <c r="G130" i="17"/>
  <c r="G129" i="17"/>
  <c r="K128" i="17"/>
  <c r="K126" i="17" s="1"/>
  <c r="J128" i="17"/>
  <c r="J126" i="17" s="1"/>
  <c r="I128" i="17"/>
  <c r="H128" i="17"/>
  <c r="H126" i="17" s="1"/>
  <c r="G127" i="17"/>
  <c r="I126" i="17"/>
  <c r="G124" i="17"/>
  <c r="G123" i="17"/>
  <c r="K122" i="17"/>
  <c r="J122" i="17"/>
  <c r="I122" i="17"/>
  <c r="I120" i="17" s="1"/>
  <c r="H122" i="17"/>
  <c r="G122" i="17" s="1"/>
  <c r="G119" i="17"/>
  <c r="G118" i="17"/>
  <c r="G117" i="17"/>
  <c r="K116" i="17"/>
  <c r="J116" i="17"/>
  <c r="I116" i="17"/>
  <c r="H116" i="17"/>
  <c r="G116" i="17" s="1"/>
  <c r="G115" i="17"/>
  <c r="G114" i="17"/>
  <c r="G113" i="17"/>
  <c r="G112" i="17"/>
  <c r="G111" i="17"/>
  <c r="G110" i="17"/>
  <c r="K109" i="17"/>
  <c r="J109" i="17"/>
  <c r="G109" i="17" s="1"/>
  <c r="I109" i="17"/>
  <c r="H109" i="17"/>
  <c r="G108" i="17"/>
  <c r="G107" i="17"/>
  <c r="K106" i="17"/>
  <c r="J106" i="17"/>
  <c r="I106" i="17"/>
  <c r="H106" i="17"/>
  <c r="G105" i="17"/>
  <c r="G104" i="17"/>
  <c r="K103" i="17"/>
  <c r="J103" i="17"/>
  <c r="I103" i="17"/>
  <c r="H103" i="17"/>
  <c r="G101" i="17"/>
  <c r="G98" i="17"/>
  <c r="G97" i="17"/>
  <c r="G96" i="17"/>
  <c r="K95" i="17"/>
  <c r="J95" i="17"/>
  <c r="J93" i="17" s="1"/>
  <c r="I95" i="17"/>
  <c r="H95" i="17"/>
  <c r="H93" i="17" s="1"/>
  <c r="G94" i="17"/>
  <c r="K93" i="17"/>
  <c r="G91" i="17"/>
  <c r="G90" i="17"/>
  <c r="I86" i="17"/>
  <c r="H86" i="17"/>
  <c r="G84" i="17"/>
  <c r="G82" i="17"/>
  <c r="G81" i="17"/>
  <c r="G79" i="17"/>
  <c r="K76" i="17"/>
  <c r="J76" i="17"/>
  <c r="I76" i="17"/>
  <c r="I70" i="17" s="1"/>
  <c r="H76" i="17"/>
  <c r="H70" i="17" s="1"/>
  <c r="G76" i="17"/>
  <c r="G75" i="17"/>
  <c r="G74" i="17"/>
  <c r="G72" i="17"/>
  <c r="G71" i="17"/>
  <c r="G69" i="17"/>
  <c r="G68" i="17"/>
  <c r="G66" i="17"/>
  <c r="I64" i="17"/>
  <c r="H64" i="17"/>
  <c r="K60" i="17"/>
  <c r="K52" i="17" s="1"/>
  <c r="I60" i="17"/>
  <c r="K57" i="17"/>
  <c r="J57" i="17"/>
  <c r="I57" i="17"/>
  <c r="H57" i="17"/>
  <c r="K54" i="17"/>
  <c r="J54" i="17"/>
  <c r="I54" i="17"/>
  <c r="H54" i="17"/>
  <c r="G53" i="17"/>
  <c r="I49" i="17"/>
  <c r="H49" i="17"/>
  <c r="G47" i="17"/>
  <c r="G45" i="17"/>
  <c r="G44" i="17"/>
  <c r="G42" i="17"/>
  <c r="K39" i="17"/>
  <c r="J39" i="17"/>
  <c r="I39" i="17"/>
  <c r="I33" i="17" s="1"/>
  <c r="H39" i="17"/>
  <c r="G38" i="17"/>
  <c r="G37" i="17"/>
  <c r="G35" i="17"/>
  <c r="G34" i="17"/>
  <c r="H33" i="17"/>
  <c r="G32" i="17"/>
  <c r="G31" i="17"/>
  <c r="G29" i="17"/>
  <c r="I27" i="17"/>
  <c r="H27" i="17"/>
  <c r="K23" i="17"/>
  <c r="I23" i="17"/>
  <c r="K20" i="17"/>
  <c r="J20" i="17"/>
  <c r="G20" i="17" s="1"/>
  <c r="I20" i="17"/>
  <c r="H20" i="17"/>
  <c r="K17" i="17"/>
  <c r="K15" i="17" s="1"/>
  <c r="J17" i="17"/>
  <c r="I17" i="17"/>
  <c r="I15" i="17" s="1"/>
  <c r="H17" i="17"/>
  <c r="G16" i="17"/>
  <c r="D9" i="17"/>
  <c r="F151" i="16"/>
  <c r="I148" i="16"/>
  <c r="F148" i="16"/>
  <c r="G146" i="16"/>
  <c r="G145" i="16"/>
  <c r="K144" i="16"/>
  <c r="J144" i="16"/>
  <c r="I144" i="16"/>
  <c r="G144" i="16" s="1"/>
  <c r="H144" i="16"/>
  <c r="I142" i="16"/>
  <c r="H142" i="16"/>
  <c r="G141" i="16"/>
  <c r="G140" i="16"/>
  <c r="G139" i="16"/>
  <c r="K138" i="16"/>
  <c r="J138" i="16"/>
  <c r="I138" i="16"/>
  <c r="G138" i="16" s="1"/>
  <c r="H138" i="16"/>
  <c r="G137" i="16"/>
  <c r="G136" i="16"/>
  <c r="K135" i="16"/>
  <c r="J135" i="16"/>
  <c r="I135" i="16"/>
  <c r="I133" i="16" s="1"/>
  <c r="I132" i="16" s="1"/>
  <c r="H135" i="16"/>
  <c r="G135" i="16" s="1"/>
  <c r="G134" i="16"/>
  <c r="K133" i="16"/>
  <c r="J133" i="16"/>
  <c r="J132" i="16" s="1"/>
  <c r="K132" i="16"/>
  <c r="G131" i="16"/>
  <c r="G130" i="16"/>
  <c r="G129" i="16"/>
  <c r="K128" i="16"/>
  <c r="K126" i="16" s="1"/>
  <c r="J128" i="16"/>
  <c r="I128" i="16"/>
  <c r="H128" i="16"/>
  <c r="H126" i="16" s="1"/>
  <c r="G128" i="16"/>
  <c r="G127" i="16"/>
  <c r="J126" i="16"/>
  <c r="I126" i="16"/>
  <c r="G124" i="16"/>
  <c r="G123" i="16"/>
  <c r="K122" i="16"/>
  <c r="J122" i="16"/>
  <c r="I122" i="16"/>
  <c r="I120" i="16" s="1"/>
  <c r="H122" i="16"/>
  <c r="G122" i="16" s="1"/>
  <c r="H120" i="16"/>
  <c r="G119" i="16"/>
  <c r="G118" i="16"/>
  <c r="G117" i="16"/>
  <c r="K116" i="16"/>
  <c r="J116" i="16"/>
  <c r="I116" i="16"/>
  <c r="H116" i="16"/>
  <c r="G116" i="16" s="1"/>
  <c r="G115" i="16"/>
  <c r="G114" i="16"/>
  <c r="G113" i="16"/>
  <c r="G112" i="16"/>
  <c r="G111" i="16"/>
  <c r="G110" i="16"/>
  <c r="K109" i="16"/>
  <c r="K102" i="16" s="1"/>
  <c r="K100" i="16" s="1"/>
  <c r="K99" i="16" s="1"/>
  <c r="J109" i="16"/>
  <c r="I109" i="16"/>
  <c r="H109" i="16"/>
  <c r="H102" i="16" s="1"/>
  <c r="G108" i="16"/>
  <c r="G107" i="16"/>
  <c r="K106" i="16"/>
  <c r="J106" i="16"/>
  <c r="G106" i="16" s="1"/>
  <c r="I106" i="16"/>
  <c r="H106" i="16"/>
  <c r="G105" i="16"/>
  <c r="G104" i="16"/>
  <c r="K103" i="16"/>
  <c r="J103" i="16"/>
  <c r="I103" i="16"/>
  <c r="I102" i="16" s="1"/>
  <c r="I100" i="16" s="1"/>
  <c r="I99" i="16" s="1"/>
  <c r="H103" i="16"/>
  <c r="J102" i="16"/>
  <c r="J100" i="16" s="1"/>
  <c r="J99" i="16" s="1"/>
  <c r="G101" i="16"/>
  <c r="G98" i="16"/>
  <c r="G97" i="16"/>
  <c r="G96" i="16"/>
  <c r="K95" i="16"/>
  <c r="J95" i="16"/>
  <c r="J93" i="16" s="1"/>
  <c r="I95" i="16"/>
  <c r="G95" i="16" s="1"/>
  <c r="H95" i="16"/>
  <c r="G94" i="16"/>
  <c r="K93" i="16"/>
  <c r="H93" i="16"/>
  <c r="G91" i="16"/>
  <c r="G90" i="16"/>
  <c r="J86" i="16"/>
  <c r="I86" i="16"/>
  <c r="H86" i="16"/>
  <c r="G84" i="16"/>
  <c r="G82" i="16"/>
  <c r="G81" i="16"/>
  <c r="G79" i="16"/>
  <c r="K76" i="16"/>
  <c r="J76" i="16"/>
  <c r="I76" i="16"/>
  <c r="H76" i="16"/>
  <c r="G76" i="16"/>
  <c r="G75" i="16"/>
  <c r="G74" i="16"/>
  <c r="G72" i="16"/>
  <c r="G71" i="16"/>
  <c r="I70" i="16"/>
  <c r="H70" i="16"/>
  <c r="G69" i="16"/>
  <c r="G68" i="16"/>
  <c r="G66" i="16"/>
  <c r="I64" i="16"/>
  <c r="H64" i="16"/>
  <c r="K60" i="16"/>
  <c r="K52" i="16" s="1"/>
  <c r="I60" i="16"/>
  <c r="K57" i="16"/>
  <c r="J57" i="16"/>
  <c r="I57" i="16"/>
  <c r="H57" i="16"/>
  <c r="K54" i="16"/>
  <c r="J54" i="16"/>
  <c r="I54" i="16"/>
  <c r="H54" i="16"/>
  <c r="G53" i="16"/>
  <c r="I49" i="16"/>
  <c r="H49" i="16"/>
  <c r="G47" i="16"/>
  <c r="G45" i="16"/>
  <c r="G44" i="16"/>
  <c r="G42" i="16"/>
  <c r="K39" i="16"/>
  <c r="J39" i="16"/>
  <c r="G39" i="16" s="1"/>
  <c r="I39" i="16"/>
  <c r="H39" i="16"/>
  <c r="G38" i="16"/>
  <c r="G37" i="16"/>
  <c r="G35" i="16"/>
  <c r="G34" i="16"/>
  <c r="I33" i="16"/>
  <c r="H33" i="16"/>
  <c r="G32" i="16"/>
  <c r="G31" i="16"/>
  <c r="G29" i="16"/>
  <c r="I27" i="16"/>
  <c r="H27" i="16"/>
  <c r="K23" i="16"/>
  <c r="I23" i="16"/>
  <c r="K20" i="16"/>
  <c r="K15" i="16" s="1"/>
  <c r="J20" i="16"/>
  <c r="I20" i="16"/>
  <c r="H20" i="16"/>
  <c r="G20" i="16"/>
  <c r="K17" i="16"/>
  <c r="J17" i="16"/>
  <c r="I17" i="16"/>
  <c r="I15" i="16" s="1"/>
  <c r="I50" i="16" s="1"/>
  <c r="H17" i="16"/>
  <c r="G16" i="16"/>
  <c r="D9" i="16"/>
  <c r="F151" i="15"/>
  <c r="F148" i="15"/>
  <c r="D9" i="15"/>
  <c r="G39" i="17" l="1"/>
  <c r="G106" i="17"/>
  <c r="K102" i="17"/>
  <c r="K100" i="17" s="1"/>
  <c r="K99" i="17" s="1"/>
  <c r="G128" i="17"/>
  <c r="I50" i="17"/>
  <c r="H102" i="17"/>
  <c r="H100" i="17" s="1"/>
  <c r="J132" i="17"/>
  <c r="I132" i="17"/>
  <c r="G85" i="16"/>
  <c r="H23" i="16"/>
  <c r="J33" i="16"/>
  <c r="G33" i="16" s="1"/>
  <c r="J52" i="16"/>
  <c r="G36" i="16"/>
  <c r="G73" i="16"/>
  <c r="K121" i="16"/>
  <c r="K143" i="16" s="1"/>
  <c r="K142" i="16" s="1"/>
  <c r="K89" i="16"/>
  <c r="G62" i="16"/>
  <c r="K83" i="16" s="1"/>
  <c r="K67" i="16" s="1"/>
  <c r="K64" i="16" s="1"/>
  <c r="H60" i="16"/>
  <c r="G60" i="16" s="1"/>
  <c r="K70" i="17"/>
  <c r="J52" i="17"/>
  <c r="G62" i="17"/>
  <c r="G85" i="17"/>
  <c r="H60" i="17"/>
  <c r="G60" i="17" s="1"/>
  <c r="G23" i="16"/>
  <c r="K70" i="16"/>
  <c r="G54" i="17"/>
  <c r="I52" i="17"/>
  <c r="I87" i="17" s="1"/>
  <c r="G73" i="17"/>
  <c r="J70" i="17"/>
  <c r="H99" i="17"/>
  <c r="I102" i="17"/>
  <c r="I100" i="17" s="1"/>
  <c r="I99" i="17" s="1"/>
  <c r="G103" i="17"/>
  <c r="I142" i="17"/>
  <c r="G17" i="17"/>
  <c r="J89" i="17"/>
  <c r="G89" i="17" s="1"/>
  <c r="G95" i="17"/>
  <c r="I93" i="17"/>
  <c r="G93" i="17" s="1"/>
  <c r="H120" i="17"/>
  <c r="G57" i="17"/>
  <c r="J102" i="17"/>
  <c r="J100" i="17" s="1"/>
  <c r="J99" i="17" s="1"/>
  <c r="G126" i="17"/>
  <c r="G135" i="17"/>
  <c r="H133" i="17"/>
  <c r="J65" i="17"/>
  <c r="J27" i="16"/>
  <c r="H43" i="16"/>
  <c r="J15" i="16"/>
  <c r="K30" i="16"/>
  <c r="G25" i="16"/>
  <c r="G48" i="16"/>
  <c r="J49" i="16"/>
  <c r="G57" i="16"/>
  <c r="G102" i="16"/>
  <c r="H100" i="16"/>
  <c r="G126" i="16"/>
  <c r="G54" i="16"/>
  <c r="I52" i="16"/>
  <c r="I87" i="16" s="1"/>
  <c r="G17" i="16"/>
  <c r="H15" i="16"/>
  <c r="J120" i="16"/>
  <c r="G121" i="16"/>
  <c r="G109" i="16"/>
  <c r="J65" i="16"/>
  <c r="I93" i="16"/>
  <c r="G93" i="16" s="1"/>
  <c r="G103" i="16"/>
  <c r="H133" i="16"/>
  <c r="J70" i="16"/>
  <c r="G67" i="16" l="1"/>
  <c r="K86" i="16"/>
  <c r="G86" i="16" s="1"/>
  <c r="K46" i="16"/>
  <c r="G46" i="16" s="1"/>
  <c r="G83" i="16"/>
  <c r="G70" i="17"/>
  <c r="K87" i="16"/>
  <c r="J80" i="16"/>
  <c r="G80" i="16" s="1"/>
  <c r="H52" i="16"/>
  <c r="G52" i="16" s="1"/>
  <c r="K120" i="16"/>
  <c r="G120" i="16" s="1"/>
  <c r="H52" i="17"/>
  <c r="H87" i="17" s="1"/>
  <c r="K83" i="17"/>
  <c r="G83" i="17" s="1"/>
  <c r="G70" i="16"/>
  <c r="G89" i="16"/>
  <c r="J64" i="17"/>
  <c r="G65" i="17"/>
  <c r="G133" i="17"/>
  <c r="H132" i="17"/>
  <c r="G132" i="17" s="1"/>
  <c r="G52" i="17"/>
  <c r="G99" i="17"/>
  <c r="G102" i="17"/>
  <c r="G100" i="17"/>
  <c r="J64" i="16"/>
  <c r="G65" i="16"/>
  <c r="G100" i="16"/>
  <c r="H99" i="16"/>
  <c r="G99" i="16" s="1"/>
  <c r="G133" i="16"/>
  <c r="H132" i="16"/>
  <c r="G132" i="16" s="1"/>
  <c r="J43" i="16"/>
  <c r="G43" i="16" s="1"/>
  <c r="G30" i="16"/>
  <c r="K27" i="16"/>
  <c r="G15" i="16"/>
  <c r="H50" i="16"/>
  <c r="G143" i="16"/>
  <c r="J142" i="16"/>
  <c r="G142" i="16" s="1"/>
  <c r="K49" i="16" l="1"/>
  <c r="G49" i="16" s="1"/>
  <c r="H87" i="16"/>
  <c r="K50" i="16"/>
  <c r="K67" i="17"/>
  <c r="G67" i="17" s="1"/>
  <c r="K86" i="17"/>
  <c r="G86" i="17" s="1"/>
  <c r="J50" i="16"/>
  <c r="G27" i="16"/>
  <c r="J80" i="17"/>
  <c r="G80" i="17" s="1"/>
  <c r="G64" i="16"/>
  <c r="J87" i="16"/>
  <c r="G87" i="16" s="1"/>
  <c r="G50" i="16" l="1"/>
  <c r="K64" i="17"/>
  <c r="K87" i="17" s="1"/>
  <c r="J87" i="17"/>
  <c r="G64" i="17" l="1"/>
  <c r="G87" i="17"/>
  <c r="F151" i="14"/>
  <c r="F148" i="14"/>
  <c r="D9" i="14"/>
  <c r="F151" i="13" l="1"/>
  <c r="F148" i="13"/>
  <c r="D9" i="13"/>
  <c r="F151" i="12" l="1"/>
  <c r="F148" i="12"/>
  <c r="D9" i="12"/>
  <c r="F151" i="11" l="1"/>
  <c r="F148" i="11"/>
  <c r="D9" i="11"/>
  <c r="F151" i="10" l="1"/>
  <c r="F148" i="10"/>
  <c r="D9" i="10"/>
  <c r="K85" i="9" l="1"/>
  <c r="J85" i="9"/>
  <c r="K73" i="9"/>
  <c r="J73" i="9"/>
  <c r="G73" i="9" s="1"/>
  <c r="J62" i="9"/>
  <c r="J60" i="9" s="1"/>
  <c r="H62" i="9"/>
  <c r="H80" i="9" s="1"/>
  <c r="F151" i="9"/>
  <c r="I148" i="9"/>
  <c r="F148" i="9"/>
  <c r="G146" i="9"/>
  <c r="G145" i="9"/>
  <c r="K144" i="9"/>
  <c r="J144" i="9"/>
  <c r="I144" i="9"/>
  <c r="H144" i="9"/>
  <c r="G144" i="9"/>
  <c r="I142" i="9"/>
  <c r="H142" i="9"/>
  <c r="G141" i="9"/>
  <c r="G140" i="9"/>
  <c r="G139" i="9"/>
  <c r="K138" i="9"/>
  <c r="J138" i="9"/>
  <c r="I138" i="9"/>
  <c r="H138" i="9"/>
  <c r="G138" i="9"/>
  <c r="G137" i="9"/>
  <c r="G136" i="9"/>
  <c r="K135" i="9"/>
  <c r="K133" i="9" s="1"/>
  <c r="K132" i="9" s="1"/>
  <c r="J135" i="9"/>
  <c r="J133" i="9" s="1"/>
  <c r="J132" i="9" s="1"/>
  <c r="I135" i="9"/>
  <c r="H135" i="9"/>
  <c r="G135" i="9" s="1"/>
  <c r="G134" i="9"/>
  <c r="I133" i="9"/>
  <c r="H133" i="9"/>
  <c r="I132" i="9"/>
  <c r="G131" i="9"/>
  <c r="G130" i="9"/>
  <c r="G129" i="9"/>
  <c r="K128" i="9"/>
  <c r="J128" i="9"/>
  <c r="I128" i="9"/>
  <c r="G128" i="9" s="1"/>
  <c r="H128" i="9"/>
  <c r="G127" i="9"/>
  <c r="K126" i="9"/>
  <c r="J126" i="9"/>
  <c r="H126" i="9"/>
  <c r="G124" i="9"/>
  <c r="G123" i="9"/>
  <c r="K122" i="9"/>
  <c r="J122" i="9"/>
  <c r="I122" i="9"/>
  <c r="H122" i="9"/>
  <c r="G122" i="9" s="1"/>
  <c r="I120" i="9"/>
  <c r="H120" i="9"/>
  <c r="G119" i="9"/>
  <c r="G118" i="9"/>
  <c r="G117" i="9"/>
  <c r="K116" i="9"/>
  <c r="J116" i="9"/>
  <c r="I116" i="9"/>
  <c r="H116" i="9"/>
  <c r="G116" i="9" s="1"/>
  <c r="G115" i="9"/>
  <c r="G114" i="9"/>
  <c r="G113" i="9"/>
  <c r="G112" i="9"/>
  <c r="G111" i="9"/>
  <c r="G110" i="9"/>
  <c r="K109" i="9"/>
  <c r="J109" i="9"/>
  <c r="I109" i="9"/>
  <c r="G109" i="9" s="1"/>
  <c r="H109" i="9"/>
  <c r="G108" i="9"/>
  <c r="G107" i="9"/>
  <c r="K106" i="9"/>
  <c r="J106" i="9"/>
  <c r="I106" i="9"/>
  <c r="H106" i="9"/>
  <c r="G106" i="9" s="1"/>
  <c r="G105" i="9"/>
  <c r="G104" i="9"/>
  <c r="K103" i="9"/>
  <c r="K102" i="9" s="1"/>
  <c r="K100" i="9" s="1"/>
  <c r="K99" i="9" s="1"/>
  <c r="J103" i="9"/>
  <c r="I103" i="9"/>
  <c r="I102" i="9" s="1"/>
  <c r="I100" i="9" s="1"/>
  <c r="I99" i="9" s="1"/>
  <c r="H103" i="9"/>
  <c r="G103" i="9"/>
  <c r="J102" i="9"/>
  <c r="H102" i="9"/>
  <c r="G101" i="9"/>
  <c r="J100" i="9"/>
  <c r="J99" i="9" s="1"/>
  <c r="G98" i="9"/>
  <c r="G97" i="9"/>
  <c r="G96" i="9"/>
  <c r="K95" i="9"/>
  <c r="K93" i="9" s="1"/>
  <c r="J95" i="9"/>
  <c r="I95" i="9"/>
  <c r="H95" i="9"/>
  <c r="G95" i="9"/>
  <c r="G94" i="9"/>
  <c r="J93" i="9"/>
  <c r="I93" i="9"/>
  <c r="H93" i="9"/>
  <c r="G91" i="9"/>
  <c r="G90" i="9"/>
  <c r="I86" i="9"/>
  <c r="H86" i="9"/>
  <c r="G84" i="9"/>
  <c r="G82" i="9"/>
  <c r="G81" i="9"/>
  <c r="G79" i="9"/>
  <c r="K76" i="9"/>
  <c r="J76" i="9"/>
  <c r="I76" i="9"/>
  <c r="G76" i="9" s="1"/>
  <c r="H76" i="9"/>
  <c r="G75" i="9"/>
  <c r="G74" i="9"/>
  <c r="K89" i="9"/>
  <c r="G72" i="9"/>
  <c r="G71" i="9"/>
  <c r="K70" i="9"/>
  <c r="I70" i="9"/>
  <c r="H70" i="9"/>
  <c r="G69" i="9"/>
  <c r="G68" i="9"/>
  <c r="G66" i="9"/>
  <c r="I64" i="9"/>
  <c r="H64" i="9"/>
  <c r="K60" i="9"/>
  <c r="I60" i="9"/>
  <c r="I52" i="9" s="1"/>
  <c r="I87" i="9" s="1"/>
  <c r="K57" i="9"/>
  <c r="J57" i="9"/>
  <c r="I57" i="9"/>
  <c r="H57" i="9"/>
  <c r="G57" i="9" s="1"/>
  <c r="K54" i="9"/>
  <c r="K52" i="9" s="1"/>
  <c r="J54" i="9"/>
  <c r="I54" i="9"/>
  <c r="H54" i="9"/>
  <c r="G54" i="9"/>
  <c r="G53" i="9"/>
  <c r="I49" i="9"/>
  <c r="H49" i="9"/>
  <c r="K48" i="9"/>
  <c r="K48" i="17" s="1"/>
  <c r="J48" i="9"/>
  <c r="G47" i="9"/>
  <c r="G45" i="9"/>
  <c r="G44" i="9"/>
  <c r="G42" i="9"/>
  <c r="K39" i="9"/>
  <c r="J39" i="9"/>
  <c r="I39" i="9"/>
  <c r="H39" i="9"/>
  <c r="G39" i="9" s="1"/>
  <c r="G38" i="9"/>
  <c r="G37" i="9"/>
  <c r="G35" i="9"/>
  <c r="G34" i="9"/>
  <c r="I33" i="9"/>
  <c r="H33" i="9"/>
  <c r="G32" i="9"/>
  <c r="G31" i="9"/>
  <c r="G29" i="9"/>
  <c r="I27" i="9"/>
  <c r="H27" i="9"/>
  <c r="K23" i="9"/>
  <c r="I23" i="9"/>
  <c r="K20" i="9"/>
  <c r="K15" i="9" s="1"/>
  <c r="J20" i="9"/>
  <c r="I20" i="9"/>
  <c r="I15" i="9" s="1"/>
  <c r="I50" i="9" s="1"/>
  <c r="H20" i="9"/>
  <c r="K17" i="9"/>
  <c r="J17" i="9"/>
  <c r="I17" i="9"/>
  <c r="H17" i="9"/>
  <c r="G17" i="9" s="1"/>
  <c r="G16" i="9"/>
  <c r="D9" i="9"/>
  <c r="K85" i="8"/>
  <c r="G85" i="8" s="1"/>
  <c r="J85" i="8"/>
  <c r="K73" i="8"/>
  <c r="J73" i="8"/>
  <c r="J62" i="8"/>
  <c r="H62" i="8"/>
  <c r="K48" i="8"/>
  <c r="J48" i="8"/>
  <c r="G48" i="8" s="1"/>
  <c r="K36" i="8"/>
  <c r="K121" i="8" s="1"/>
  <c r="J36" i="8"/>
  <c r="J25" i="8"/>
  <c r="H25" i="8"/>
  <c r="J28" i="8" s="1"/>
  <c r="F151" i="8"/>
  <c r="I148" i="8"/>
  <c r="F148" i="8"/>
  <c r="G146" i="8"/>
  <c r="G145" i="8"/>
  <c r="K144" i="8"/>
  <c r="J144" i="8"/>
  <c r="I144" i="8"/>
  <c r="G144" i="8" s="1"/>
  <c r="H144" i="8"/>
  <c r="H142" i="8"/>
  <c r="G141" i="8"/>
  <c r="G140" i="8"/>
  <c r="G139" i="8"/>
  <c r="K138" i="8"/>
  <c r="J138" i="8"/>
  <c r="I138" i="8"/>
  <c r="G138" i="8" s="1"/>
  <c r="H138" i="8"/>
  <c r="G137" i="8"/>
  <c r="G136" i="8"/>
  <c r="K135" i="8"/>
  <c r="J135" i="8"/>
  <c r="I135" i="8"/>
  <c r="I133" i="8" s="1"/>
  <c r="I132" i="8" s="1"/>
  <c r="H135" i="8"/>
  <c r="G134" i="8"/>
  <c r="K133" i="8"/>
  <c r="J133" i="8"/>
  <c r="J132" i="8" s="1"/>
  <c r="K132" i="8"/>
  <c r="G131" i="8"/>
  <c r="G130" i="8"/>
  <c r="G129" i="8"/>
  <c r="K128" i="8"/>
  <c r="K126" i="8" s="1"/>
  <c r="J128" i="8"/>
  <c r="I128" i="8"/>
  <c r="H128" i="8"/>
  <c r="H126" i="8" s="1"/>
  <c r="G128" i="8"/>
  <c r="G127" i="8"/>
  <c r="J126" i="8"/>
  <c r="I126" i="8"/>
  <c r="G124" i="8"/>
  <c r="G123" i="8"/>
  <c r="K122" i="8"/>
  <c r="J122" i="8"/>
  <c r="I122" i="8"/>
  <c r="H122" i="8"/>
  <c r="G122" i="8" s="1"/>
  <c r="I120" i="8"/>
  <c r="H120" i="8"/>
  <c r="G119" i="8"/>
  <c r="G118" i="8"/>
  <c r="G117" i="8"/>
  <c r="K116" i="8"/>
  <c r="J116" i="8"/>
  <c r="I116" i="8"/>
  <c r="H116" i="8"/>
  <c r="G116" i="8" s="1"/>
  <c r="G115" i="8"/>
  <c r="G114" i="8"/>
  <c r="G113" i="8"/>
  <c r="G112" i="8"/>
  <c r="G111" i="8"/>
  <c r="G110" i="8"/>
  <c r="K109" i="8"/>
  <c r="K102" i="8" s="1"/>
  <c r="K100" i="8" s="1"/>
  <c r="K99" i="8" s="1"/>
  <c r="J109" i="8"/>
  <c r="I109" i="8"/>
  <c r="H109" i="8"/>
  <c r="H102" i="8" s="1"/>
  <c r="G109" i="8"/>
  <c r="G108" i="8"/>
  <c r="G107" i="8"/>
  <c r="K106" i="8"/>
  <c r="J106" i="8"/>
  <c r="G106" i="8" s="1"/>
  <c r="I106" i="8"/>
  <c r="H106" i="8"/>
  <c r="G105" i="8"/>
  <c r="G104" i="8"/>
  <c r="K103" i="8"/>
  <c r="J103" i="8"/>
  <c r="I103" i="8"/>
  <c r="H103" i="8"/>
  <c r="J102" i="8"/>
  <c r="J100" i="8" s="1"/>
  <c r="J99" i="8" s="1"/>
  <c r="G101" i="8"/>
  <c r="H100" i="8"/>
  <c r="G98" i="8"/>
  <c r="G97" i="8"/>
  <c r="G96" i="8"/>
  <c r="K95" i="8"/>
  <c r="J95" i="8"/>
  <c r="J93" i="8" s="1"/>
  <c r="I95" i="8"/>
  <c r="H95" i="8"/>
  <c r="G94" i="8"/>
  <c r="K93" i="8"/>
  <c r="H93" i="8"/>
  <c r="G91" i="8"/>
  <c r="G90" i="8"/>
  <c r="J89" i="8"/>
  <c r="J86" i="8"/>
  <c r="I86" i="8"/>
  <c r="H86" i="8"/>
  <c r="G84" i="8"/>
  <c r="G82" i="8"/>
  <c r="G81" i="8"/>
  <c r="G79" i="8"/>
  <c r="K76" i="8"/>
  <c r="J76" i="8"/>
  <c r="I76" i="8"/>
  <c r="G76" i="8" s="1"/>
  <c r="H76" i="8"/>
  <c r="G75" i="8"/>
  <c r="G74" i="8"/>
  <c r="G72" i="8"/>
  <c r="G71" i="8"/>
  <c r="J70" i="8"/>
  <c r="I70" i="8"/>
  <c r="H70" i="8"/>
  <c r="G69" i="8"/>
  <c r="G68" i="8"/>
  <c r="G66" i="8"/>
  <c r="I64" i="8"/>
  <c r="H64" i="8"/>
  <c r="K60" i="8"/>
  <c r="I60" i="8"/>
  <c r="I52" i="8" s="1"/>
  <c r="I87" i="8" s="1"/>
  <c r="K57" i="8"/>
  <c r="J57" i="8"/>
  <c r="I57" i="8"/>
  <c r="H57" i="8"/>
  <c r="K54" i="8"/>
  <c r="K52" i="8" s="1"/>
  <c r="J54" i="8"/>
  <c r="I54" i="8"/>
  <c r="H54" i="8"/>
  <c r="G54" i="8"/>
  <c r="G53" i="8"/>
  <c r="J49" i="8"/>
  <c r="I49" i="8"/>
  <c r="H49" i="8"/>
  <c r="G47" i="8"/>
  <c r="G45" i="8"/>
  <c r="G44" i="8"/>
  <c r="G42" i="8"/>
  <c r="K39" i="8"/>
  <c r="J39" i="8"/>
  <c r="I39" i="8"/>
  <c r="I33" i="8" s="1"/>
  <c r="H39" i="8"/>
  <c r="H33" i="8" s="1"/>
  <c r="G39" i="8"/>
  <c r="G38" i="8"/>
  <c r="G37" i="8"/>
  <c r="G35" i="8"/>
  <c r="G34" i="8"/>
  <c r="G32" i="8"/>
  <c r="G31" i="8"/>
  <c r="G29" i="8"/>
  <c r="I27" i="8"/>
  <c r="H27" i="8"/>
  <c r="K23" i="8"/>
  <c r="J23" i="8"/>
  <c r="I23" i="8"/>
  <c r="K20" i="8"/>
  <c r="J20" i="8"/>
  <c r="I20" i="8"/>
  <c r="G20" i="8" s="1"/>
  <c r="H20" i="8"/>
  <c r="K17" i="8"/>
  <c r="K15" i="8" s="1"/>
  <c r="J17" i="8"/>
  <c r="J15" i="8" s="1"/>
  <c r="I17" i="8"/>
  <c r="H17" i="8"/>
  <c r="G16" i="8"/>
  <c r="I15" i="8"/>
  <c r="D9" i="8"/>
  <c r="K73" i="4"/>
  <c r="J73" i="4"/>
  <c r="J70" i="4" s="1"/>
  <c r="J62" i="4"/>
  <c r="H62" i="4"/>
  <c r="H80" i="4" s="1"/>
  <c r="K48" i="4"/>
  <c r="J48" i="4"/>
  <c r="J49" i="4" s="1"/>
  <c r="K36" i="4"/>
  <c r="J36" i="4"/>
  <c r="J121" i="4" s="1"/>
  <c r="J25" i="4"/>
  <c r="H25" i="4"/>
  <c r="F151" i="4"/>
  <c r="I148" i="4"/>
  <c r="F148" i="4"/>
  <c r="G146" i="4"/>
  <c r="G145" i="4"/>
  <c r="K144" i="4"/>
  <c r="J144" i="4"/>
  <c r="I144" i="4"/>
  <c r="H144" i="4"/>
  <c r="G144" i="4"/>
  <c r="I142" i="4"/>
  <c r="H142" i="4"/>
  <c r="G141" i="4"/>
  <c r="G140" i="4"/>
  <c r="G139" i="4"/>
  <c r="K138" i="4"/>
  <c r="J138" i="4"/>
  <c r="I138" i="4"/>
  <c r="H138" i="4"/>
  <c r="G138" i="4"/>
  <c r="G137" i="4"/>
  <c r="G136" i="4"/>
  <c r="K135" i="4"/>
  <c r="K133" i="4" s="1"/>
  <c r="K132" i="4" s="1"/>
  <c r="J135" i="4"/>
  <c r="J133" i="4" s="1"/>
  <c r="J132" i="4" s="1"/>
  <c r="I135" i="4"/>
  <c r="H135" i="4"/>
  <c r="G134" i="4"/>
  <c r="I133" i="4"/>
  <c r="H133" i="4"/>
  <c r="G133" i="4" s="1"/>
  <c r="I132" i="4"/>
  <c r="G131" i="4"/>
  <c r="G130" i="4"/>
  <c r="G129" i="4"/>
  <c r="K128" i="4"/>
  <c r="J128" i="4"/>
  <c r="J126" i="4" s="1"/>
  <c r="I128" i="4"/>
  <c r="G128" i="4" s="1"/>
  <c r="H128" i="4"/>
  <c r="G127" i="4"/>
  <c r="K126" i="4"/>
  <c r="H126" i="4"/>
  <c r="G124" i="4"/>
  <c r="G123" i="4"/>
  <c r="K122" i="4"/>
  <c r="J122" i="4"/>
  <c r="G122" i="4" s="1"/>
  <c r="I122" i="4"/>
  <c r="H122" i="4"/>
  <c r="K121" i="4"/>
  <c r="K143" i="4" s="1"/>
  <c r="I120" i="4"/>
  <c r="H120" i="4"/>
  <c r="G119" i="4"/>
  <c r="G118" i="4"/>
  <c r="G117" i="4"/>
  <c r="K116" i="4"/>
  <c r="J116" i="4"/>
  <c r="G116" i="4" s="1"/>
  <c r="I116" i="4"/>
  <c r="H116" i="4"/>
  <c r="G115" i="4"/>
  <c r="G114" i="4"/>
  <c r="G113" i="4"/>
  <c r="G112" i="4"/>
  <c r="G111" i="4"/>
  <c r="G110" i="4"/>
  <c r="K109" i="4"/>
  <c r="J109" i="4"/>
  <c r="J102" i="4" s="1"/>
  <c r="J100" i="4" s="1"/>
  <c r="J99" i="4" s="1"/>
  <c r="I109" i="4"/>
  <c r="G109" i="4" s="1"/>
  <c r="H109" i="4"/>
  <c r="G108" i="4"/>
  <c r="G107" i="4"/>
  <c r="K106" i="4"/>
  <c r="J106" i="4"/>
  <c r="I106" i="4"/>
  <c r="H106" i="4"/>
  <c r="G106" i="4" s="1"/>
  <c r="G105" i="4"/>
  <c r="G104" i="4"/>
  <c r="K103" i="4"/>
  <c r="K102" i="4" s="1"/>
  <c r="K100" i="4" s="1"/>
  <c r="K99" i="4" s="1"/>
  <c r="J103" i="4"/>
  <c r="I103" i="4"/>
  <c r="H103" i="4"/>
  <c r="G103" i="4"/>
  <c r="H102" i="4"/>
  <c r="G101" i="4"/>
  <c r="G98" i="4"/>
  <c r="G97" i="4"/>
  <c r="G96" i="4"/>
  <c r="K95" i="4"/>
  <c r="K93" i="4" s="1"/>
  <c r="J95" i="4"/>
  <c r="I95" i="4"/>
  <c r="H95" i="4"/>
  <c r="H93" i="4" s="1"/>
  <c r="G95" i="4"/>
  <c r="G94" i="4"/>
  <c r="J93" i="4"/>
  <c r="I93" i="4"/>
  <c r="G91" i="4"/>
  <c r="G90" i="4"/>
  <c r="K86" i="4"/>
  <c r="J86" i="4"/>
  <c r="I86" i="4"/>
  <c r="H86" i="4"/>
  <c r="G86" i="4" s="1"/>
  <c r="G85" i="4"/>
  <c r="G84" i="4"/>
  <c r="G83" i="4"/>
  <c r="G82" i="4"/>
  <c r="G81" i="4"/>
  <c r="G79" i="4"/>
  <c r="K76" i="4"/>
  <c r="J76" i="4"/>
  <c r="G76" i="4" s="1"/>
  <c r="I76" i="4"/>
  <c r="H76" i="4"/>
  <c r="G75" i="4"/>
  <c r="G74" i="4"/>
  <c r="G72" i="4"/>
  <c r="G71" i="4"/>
  <c r="I70" i="4"/>
  <c r="H70" i="4"/>
  <c r="G69" i="4"/>
  <c r="G68" i="4"/>
  <c r="G66" i="4"/>
  <c r="I64" i="4"/>
  <c r="H64" i="4"/>
  <c r="K60" i="4"/>
  <c r="I60" i="4"/>
  <c r="K57" i="4"/>
  <c r="K52" i="4" s="1"/>
  <c r="J57" i="4"/>
  <c r="I57" i="4"/>
  <c r="H57" i="4"/>
  <c r="G57" i="4"/>
  <c r="K54" i="4"/>
  <c r="J54" i="4"/>
  <c r="I54" i="4"/>
  <c r="I52" i="4" s="1"/>
  <c r="I87" i="4" s="1"/>
  <c r="H54" i="4"/>
  <c r="G53" i="4"/>
  <c r="I49" i="4"/>
  <c r="H49" i="4"/>
  <c r="G47" i="4"/>
  <c r="G45" i="4"/>
  <c r="G44" i="4"/>
  <c r="G42" i="4"/>
  <c r="K39" i="4"/>
  <c r="K33" i="4" s="1"/>
  <c r="J39" i="4"/>
  <c r="I39" i="4"/>
  <c r="H39" i="4"/>
  <c r="H33" i="4" s="1"/>
  <c r="G39" i="4"/>
  <c r="G38" i="4"/>
  <c r="G37" i="4"/>
  <c r="G35" i="4"/>
  <c r="G34" i="4"/>
  <c r="I33" i="4"/>
  <c r="G32" i="4"/>
  <c r="G31" i="4"/>
  <c r="G29" i="4"/>
  <c r="I27" i="4"/>
  <c r="H27" i="4"/>
  <c r="K23" i="4"/>
  <c r="K15" i="4" s="1"/>
  <c r="I23" i="4"/>
  <c r="K20" i="4"/>
  <c r="J20" i="4"/>
  <c r="I20" i="4"/>
  <c r="H20" i="4"/>
  <c r="K17" i="4"/>
  <c r="J17" i="4"/>
  <c r="I17" i="4"/>
  <c r="H17" i="4"/>
  <c r="G16" i="4"/>
  <c r="D9" i="4"/>
  <c r="F151" i="1"/>
  <c r="F148" i="1"/>
  <c r="D9" i="1"/>
  <c r="H43" i="8" l="1"/>
  <c r="G28" i="8"/>
  <c r="H23" i="8"/>
  <c r="G25" i="8"/>
  <c r="K33" i="8"/>
  <c r="K36" i="9"/>
  <c r="K36" i="17" s="1"/>
  <c r="H25" i="9"/>
  <c r="H25" i="17" s="1"/>
  <c r="H23" i="17" s="1"/>
  <c r="J27" i="8"/>
  <c r="K30" i="8"/>
  <c r="J43" i="8" s="1"/>
  <c r="G43" i="8" s="1"/>
  <c r="G23" i="8"/>
  <c r="G48" i="9"/>
  <c r="J48" i="17"/>
  <c r="G36" i="8"/>
  <c r="K46" i="8" s="1"/>
  <c r="J121" i="8"/>
  <c r="J120" i="8" s="1"/>
  <c r="J89" i="4"/>
  <c r="K30" i="4"/>
  <c r="K27" i="4" s="1"/>
  <c r="G48" i="4"/>
  <c r="H23" i="4"/>
  <c r="H15" i="4" s="1"/>
  <c r="J28" i="4"/>
  <c r="J65" i="4"/>
  <c r="G65" i="4" s="1"/>
  <c r="J28" i="9"/>
  <c r="G28" i="9" s="1"/>
  <c r="H60" i="4"/>
  <c r="H52" i="4" s="1"/>
  <c r="G62" i="4"/>
  <c r="J25" i="9"/>
  <c r="G25" i="9" s="1"/>
  <c r="G85" i="9"/>
  <c r="K121" i="9"/>
  <c r="K120" i="9" s="1"/>
  <c r="G25" i="4"/>
  <c r="J33" i="4"/>
  <c r="H23" i="9"/>
  <c r="J36" i="9"/>
  <c r="J86" i="9"/>
  <c r="J52" i="9"/>
  <c r="H15" i="9"/>
  <c r="G93" i="9"/>
  <c r="G102" i="9"/>
  <c r="G133" i="9"/>
  <c r="J65" i="9"/>
  <c r="G20" i="9"/>
  <c r="J89" i="9"/>
  <c r="G89" i="9" s="1"/>
  <c r="H100" i="9"/>
  <c r="I126" i="9"/>
  <c r="G126" i="9" s="1"/>
  <c r="J49" i="9"/>
  <c r="H60" i="9"/>
  <c r="G60" i="9" s="1"/>
  <c r="G62" i="9"/>
  <c r="K83" i="9" s="1"/>
  <c r="H132" i="9"/>
  <c r="G132" i="9" s="1"/>
  <c r="J70" i="9"/>
  <c r="G70" i="9" s="1"/>
  <c r="K27" i="8"/>
  <c r="G27" i="8" s="1"/>
  <c r="J143" i="8"/>
  <c r="J142" i="8" s="1"/>
  <c r="J33" i="8"/>
  <c r="H15" i="8"/>
  <c r="G15" i="8"/>
  <c r="H50" i="8"/>
  <c r="G57" i="8"/>
  <c r="H60" i="8"/>
  <c r="H80" i="8"/>
  <c r="J60" i="8"/>
  <c r="J52" i="8" s="1"/>
  <c r="K70" i="8"/>
  <c r="G70" i="8" s="1"/>
  <c r="K89" i="8"/>
  <c r="G73" i="8"/>
  <c r="G100" i="8"/>
  <c r="H99" i="8"/>
  <c r="G99" i="8" s="1"/>
  <c r="I102" i="8"/>
  <c r="I100" i="8" s="1"/>
  <c r="I99" i="8" s="1"/>
  <c r="G103" i="8"/>
  <c r="G102" i="8"/>
  <c r="I50" i="8"/>
  <c r="G89" i="8"/>
  <c r="G95" i="8"/>
  <c r="I93" i="8"/>
  <c r="G93" i="8" s="1"/>
  <c r="I142" i="8"/>
  <c r="H52" i="8"/>
  <c r="G17" i="8"/>
  <c r="K120" i="8"/>
  <c r="K143" i="8"/>
  <c r="K142" i="8" s="1"/>
  <c r="J65" i="8"/>
  <c r="G126" i="8"/>
  <c r="G135" i="8"/>
  <c r="H133" i="8"/>
  <c r="J60" i="4"/>
  <c r="J120" i="4"/>
  <c r="J143" i="4"/>
  <c r="J142" i="4" s="1"/>
  <c r="G36" i="4"/>
  <c r="K46" i="4" s="1"/>
  <c r="J43" i="4"/>
  <c r="G30" i="4"/>
  <c r="J23" i="4"/>
  <c r="G20" i="4"/>
  <c r="G17" i="4"/>
  <c r="I15" i="4"/>
  <c r="I50" i="4" s="1"/>
  <c r="H43" i="4"/>
  <c r="G28" i="4"/>
  <c r="J27" i="4"/>
  <c r="G54" i="4"/>
  <c r="J64" i="4"/>
  <c r="G93" i="4"/>
  <c r="G143" i="4"/>
  <c r="K142" i="4"/>
  <c r="G33" i="4"/>
  <c r="G102" i="4"/>
  <c r="I102" i="4"/>
  <c r="I100" i="4" s="1"/>
  <c r="I99" i="4" s="1"/>
  <c r="K120" i="4"/>
  <c r="G120" i="4" s="1"/>
  <c r="G135" i="4"/>
  <c r="H100" i="4"/>
  <c r="G121" i="4"/>
  <c r="I126" i="4"/>
  <c r="G126" i="4" s="1"/>
  <c r="H132" i="4"/>
  <c r="G132" i="4" s="1"/>
  <c r="J28" i="17" l="1"/>
  <c r="H43" i="17" s="1"/>
  <c r="K33" i="9"/>
  <c r="G36" i="9"/>
  <c r="K46" i="9" s="1"/>
  <c r="K49" i="9" s="1"/>
  <c r="G49" i="9" s="1"/>
  <c r="G120" i="8"/>
  <c r="G30" i="8"/>
  <c r="G121" i="8"/>
  <c r="J50" i="8"/>
  <c r="K50" i="8"/>
  <c r="G46" i="8"/>
  <c r="K49" i="8"/>
  <c r="G49" i="8" s="1"/>
  <c r="G48" i="17"/>
  <c r="J49" i="17"/>
  <c r="J27" i="9"/>
  <c r="G23" i="4"/>
  <c r="K143" i="9"/>
  <c r="K143" i="17" s="1"/>
  <c r="K142" i="17" s="1"/>
  <c r="H43" i="9"/>
  <c r="H50" i="9" s="1"/>
  <c r="G60" i="4"/>
  <c r="J121" i="9"/>
  <c r="G121" i="9" s="1"/>
  <c r="K30" i="9"/>
  <c r="K27" i="9" s="1"/>
  <c r="K50" i="9" s="1"/>
  <c r="J27" i="17"/>
  <c r="K121" i="17"/>
  <c r="K120" i="17" s="1"/>
  <c r="K33" i="17"/>
  <c r="G27" i="4"/>
  <c r="H15" i="17"/>
  <c r="J33" i="9"/>
  <c r="G33" i="9" s="1"/>
  <c r="J36" i="17"/>
  <c r="J25" i="17"/>
  <c r="J23" i="9"/>
  <c r="K142" i="9"/>
  <c r="G100" i="9"/>
  <c r="H99" i="9"/>
  <c r="G99" i="9" s="1"/>
  <c r="G83" i="9"/>
  <c r="K86" i="9"/>
  <c r="G86" i="9" s="1"/>
  <c r="K67" i="9"/>
  <c r="J64" i="9"/>
  <c r="G65" i="9"/>
  <c r="H52" i="9"/>
  <c r="G60" i="8"/>
  <c r="G62" i="8"/>
  <c r="K83" i="8" s="1"/>
  <c r="G33" i="8"/>
  <c r="G65" i="8"/>
  <c r="J64" i="8"/>
  <c r="H87" i="8"/>
  <c r="G52" i="8"/>
  <c r="G142" i="8"/>
  <c r="G143" i="8"/>
  <c r="G133" i="8"/>
  <c r="H132" i="8"/>
  <c r="G132" i="8" s="1"/>
  <c r="J52" i="4"/>
  <c r="K49" i="4"/>
  <c r="G49" i="4" s="1"/>
  <c r="G46" i="4"/>
  <c r="K50" i="4"/>
  <c r="G142" i="4"/>
  <c r="J15" i="4"/>
  <c r="J50" i="4" s="1"/>
  <c r="G43" i="4"/>
  <c r="H87" i="4"/>
  <c r="G52" i="4"/>
  <c r="G100" i="4"/>
  <c r="H99" i="4"/>
  <c r="G99" i="4" s="1"/>
  <c r="K89" i="4"/>
  <c r="G89" i="4" s="1"/>
  <c r="K67" i="4"/>
  <c r="K70" i="4"/>
  <c r="G70" i="4" s="1"/>
  <c r="G73" i="4"/>
  <c r="H50" i="4"/>
  <c r="G28" i="17" l="1"/>
  <c r="G50" i="8"/>
  <c r="G46" i="9"/>
  <c r="J121" i="17"/>
  <c r="G36" i="17"/>
  <c r="J33" i="17"/>
  <c r="G33" i="17" s="1"/>
  <c r="J43" i="9"/>
  <c r="G43" i="9" s="1"/>
  <c r="G30" i="9"/>
  <c r="J23" i="17"/>
  <c r="K30" i="17"/>
  <c r="G25" i="17"/>
  <c r="H50" i="17"/>
  <c r="J15" i="9"/>
  <c r="G23" i="9"/>
  <c r="J143" i="9"/>
  <c r="J120" i="9"/>
  <c r="G120" i="9" s="1"/>
  <c r="G27" i="9"/>
  <c r="H87" i="9"/>
  <c r="G52" i="9"/>
  <c r="J80" i="9"/>
  <c r="G80" i="9" s="1"/>
  <c r="G67" i="9"/>
  <c r="K64" i="9"/>
  <c r="K87" i="9" s="1"/>
  <c r="K86" i="8"/>
  <c r="G86" i="8" s="1"/>
  <c r="G83" i="8"/>
  <c r="K67" i="8"/>
  <c r="G15" i="4"/>
  <c r="G50" i="4"/>
  <c r="J80" i="4"/>
  <c r="G67" i="4"/>
  <c r="K64" i="4"/>
  <c r="G30" i="17" l="1"/>
  <c r="J43" i="17"/>
  <c r="G43" i="17" s="1"/>
  <c r="K27" i="17"/>
  <c r="J143" i="17"/>
  <c r="G143" i="9"/>
  <c r="J142" i="9"/>
  <c r="G142" i="9" s="1"/>
  <c r="J15" i="17"/>
  <c r="G23" i="17"/>
  <c r="J120" i="17"/>
  <c r="G120" i="17" s="1"/>
  <c r="G121" i="17"/>
  <c r="J50" i="9"/>
  <c r="G50" i="9" s="1"/>
  <c r="G15" i="9"/>
  <c r="K46" i="17"/>
  <c r="G64" i="9"/>
  <c r="J87" i="9"/>
  <c r="G87" i="9" s="1"/>
  <c r="J80" i="8"/>
  <c r="G67" i="8"/>
  <c r="K64" i="8"/>
  <c r="G80" i="4"/>
  <c r="J87" i="4"/>
  <c r="K87" i="4"/>
  <c r="G64" i="4"/>
  <c r="F151" i="3"/>
  <c r="F148" i="3"/>
  <c r="D9" i="3"/>
  <c r="G87" i="4" l="1"/>
  <c r="G143" i="17"/>
  <c r="J142" i="17"/>
  <c r="G142" i="17" s="1"/>
  <c r="K50" i="17"/>
  <c r="G27" i="17"/>
  <c r="J50" i="17"/>
  <c r="G15" i="17"/>
  <c r="K49" i="17"/>
  <c r="G49" i="17" s="1"/>
  <c r="G46" i="17"/>
  <c r="K87" i="8"/>
  <c r="G64" i="8"/>
  <c r="G80" i="8"/>
  <c r="J87" i="8"/>
  <c r="G50" i="17" l="1"/>
  <c r="G87" i="8"/>
  <c r="F151" i="2" l="1"/>
  <c r="F148" i="2"/>
  <c r="D9" i="2"/>
  <c r="F151" i="6" l="1"/>
  <c r="F148" i="6"/>
  <c r="D9" i="6"/>
  <c r="F151" i="5" l="1"/>
  <c r="F148" i="5"/>
  <c r="D9" i="5"/>
  <c r="F151" i="7" l="1"/>
  <c r="F148" i="7"/>
  <c r="D9" i="7"/>
</calcChain>
</file>

<file path=xl/sharedStrings.xml><?xml version="1.0" encoding="utf-8"?>
<sst xmlns="http://schemas.openxmlformats.org/spreadsheetml/2006/main" count="6869" uniqueCount="347">
  <si>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</si>
  <si>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</si>
  <si>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</si>
  <si>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</si>
  <si>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</si>
  <si>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</si>
  <si>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</si>
  <si>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</si>
  <si>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</si>
  <si>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</si>
  <si>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</si>
  <si>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</si>
  <si>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</si>
  <si>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№ п/п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</si>
  <si>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</si>
  <si>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</si>
  <si>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</si>
  <si>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</si>
  <si>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</si>
  <si>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</si>
  <si>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</si>
  <si>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</si>
  <si>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</si>
  <si>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</si>
  <si>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</si>
  <si>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</si>
  <si>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</si>
  <si>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</si>
  <si>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</si>
  <si>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</si>
  <si>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</si>
  <si>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</si>
  <si>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</si>
  <si>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</si>
  <si>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</si>
  <si>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</si>
  <si>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</si>
  <si>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</si>
  <si>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</si>
  <si>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</si>
  <si>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О</t>
  </si>
  <si>
    <t>1.4.1</t>
  </si>
  <si>
    <t>ПАО "Московская объединенная электросетевая компания"</t>
  </si>
  <si>
    <t>5036065113</t>
  </si>
  <si>
    <t>997450001</t>
  </si>
  <si>
    <t>26506648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</si>
  <si>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</si>
  <si>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</si>
  <si>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</si>
  <si>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</si>
  <si>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</si>
  <si>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</si>
  <si>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</si>
  <si>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</si>
  <si>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</si>
  <si>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</si>
  <si>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</si>
  <si>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</si>
  <si>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</si>
  <si>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</si>
  <si>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</si>
  <si>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</si>
  <si>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</si>
  <si>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</si>
  <si>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</si>
  <si>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</si>
  <si>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</si>
  <si>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</si>
  <si>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</si>
  <si>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</si>
  <si>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</si>
  <si>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</si>
  <si>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</si>
  <si>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</si>
  <si>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</si>
  <si>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</si>
  <si>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</si>
  <si>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</si>
  <si>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</si>
  <si>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</si>
  <si>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</si>
  <si>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</si>
  <si>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</si>
  <si>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</si>
  <si>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</si>
  <si>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</si>
  <si>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</si>
  <si>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</si>
  <si>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</si>
  <si>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</si>
  <si>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</si>
  <si>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</si>
  <si>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</si>
  <si>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</si>
  <si>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</si>
  <si>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</si>
  <si>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</si>
  <si>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</si>
  <si>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</si>
  <si>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</si>
  <si>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</si>
  <si>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</si>
  <si>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</si>
  <si>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</si>
  <si>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</si>
  <si>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</si>
  <si>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</si>
  <si>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Небаланс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</si>
  <si>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</si>
  <si>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</si>
  <si>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</si>
  <si>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</si>
  <si>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</si>
  <si>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</si>
  <si>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</si>
  <si>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</si>
  <si>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</si>
  <si>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</si>
  <si>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</si>
  <si>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</si>
  <si>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</si>
  <si>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</si>
  <si>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</si>
  <si>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12.4.1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</si>
  <si>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</si>
  <si>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</si>
  <si>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</si>
  <si>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</si>
  <si>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</si>
  <si>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</si>
  <si>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</si>
  <si>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</si>
  <si>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</si>
  <si>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</si>
  <si>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</si>
  <si>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</si>
  <si>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</si>
  <si>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</si>
  <si>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</si>
  <si>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</si>
  <si>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</si>
  <si>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</si>
  <si>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</si>
  <si>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</si>
  <si>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</si>
  <si>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</si>
  <si>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</si>
  <si>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</si>
  <si>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</si>
  <si>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</si>
  <si>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</si>
  <si>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</si>
  <si>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</si>
  <si>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</si>
  <si>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</si>
  <si>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</si>
  <si>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</si>
  <si>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</si>
  <si>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</si>
  <si>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</si>
  <si>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</si>
  <si>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</si>
  <si>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</si>
  <si>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</si>
  <si>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</si>
  <si>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</si>
  <si>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</si>
  <si>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</si>
  <si>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</si>
  <si>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</si>
  <si>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</si>
  <si>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</si>
  <si>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</si>
  <si>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</si>
  <si>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</si>
  <si>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</si>
  <si>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</si>
  <si>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</si>
  <si>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</si>
  <si>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</si>
  <si>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</si>
  <si>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</si>
  <si>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</si>
  <si>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</si>
  <si>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</si>
  <si>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</si>
  <si>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</si>
  <si>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</si>
  <si>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</si>
  <si>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</si>
  <si>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</si>
  <si>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</si>
  <si>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</si>
  <si>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</si>
  <si>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</si>
  <si>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</si>
  <si>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</si>
  <si>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</si>
  <si>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</si>
  <si>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</si>
  <si>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</si>
  <si>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</si>
  <si>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</si>
  <si>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</si>
  <si>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</si>
  <si>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</si>
  <si>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</si>
  <si>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</si>
  <si>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</si>
  <si>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</si>
  <si>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</si>
  <si>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</si>
  <si>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</si>
  <si>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</si>
  <si>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</si>
  <si>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</si>
  <si>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</si>
  <si>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</si>
  <si>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</si>
  <si>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</si>
  <si>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</si>
  <si>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</si>
  <si>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</si>
  <si>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</si>
  <si>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</si>
  <si>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</si>
  <si>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</si>
  <si>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</si>
  <si>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</si>
  <si>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</si>
  <si>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</si>
  <si>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</si>
  <si>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</si>
  <si>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</si>
  <si>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</si>
  <si>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</si>
  <si>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</si>
  <si>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</si>
  <si>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</si>
  <si>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</si>
  <si>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</si>
  <si>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</si>
  <si>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</si>
  <si>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</si>
  <si>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</si>
  <si>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</si>
  <si>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</si>
  <si>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</si>
  <si>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</si>
  <si>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</si>
  <si>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</si>
  <si>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</si>
  <si>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</si>
  <si>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</si>
  <si>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</si>
  <si>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</si>
  <si>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</si>
  <si>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</si>
  <si>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</si>
  <si>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</si>
  <si>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</si>
  <si>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</si>
  <si>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</si>
  <si>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</si>
  <si>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</si>
  <si>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</si>
  <si>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</si>
  <si>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</si>
  <si>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</si>
  <si>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</si>
  <si>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</si>
  <si>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</si>
  <si>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</si>
  <si>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</si>
  <si>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</si>
  <si>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</si>
  <si>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</si>
  <si>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</si>
  <si>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</si>
  <si>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</si>
  <si>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</si>
  <si>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</si>
  <si>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</si>
  <si>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компенсация потерь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</si>
  <si>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</si>
  <si>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</si>
  <si>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</si>
  <si>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</si>
  <si>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</si>
  <si>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</si>
  <si>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</si>
  <si>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</si>
  <si>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</si>
  <si>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</si>
  <si>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</si>
  <si>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</si>
  <si>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</si>
  <si>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</si>
  <si>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</si>
  <si>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</si>
  <si>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</si>
  <si>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</si>
  <si>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</si>
  <si>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</si>
  <si>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</si>
  <si>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</si>
  <si>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</si>
  <si>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</si>
  <si>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</si>
  <si>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</si>
  <si>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</si>
  <si>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</si>
  <si>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</si>
  <si>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</si>
  <si>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мощность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</si>
  <si>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</si>
  <si>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</si>
  <si>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</si>
  <si>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</si>
  <si>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</si>
  <si>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</si>
  <si>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</si>
  <si>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(должность)</t>
  </si>
  <si>
    <t>(Ф.И.О.)</t>
  </si>
  <si>
    <t>(подпись)</t>
  </si>
  <si>
    <t>(лицо, уполномоченное предоставлять</t>
  </si>
  <si>
    <t>статистическую информацию от имени</t>
  </si>
  <si>
    <t>«____» _________20__ год</t>
  </si>
  <si>
    <t>юридического лица)</t>
  </si>
  <si>
    <t>(номер контактного телефона)</t>
  </si>
  <si>
    <t>(дата составления документа)</t>
  </si>
  <si>
    <t>=G46/G25</t>
  </si>
  <si>
    <t xml:space="preserve"> январь 2020 </t>
  </si>
  <si>
    <t xml:space="preserve"> февраль 2020</t>
  </si>
  <si>
    <t xml:space="preserve"> март 2020</t>
  </si>
  <si>
    <t xml:space="preserve"> апрель 2020</t>
  </si>
  <si>
    <t xml:space="preserve"> май 2020</t>
  </si>
  <si>
    <t xml:space="preserve"> июнь 2020</t>
  </si>
  <si>
    <t xml:space="preserve"> 1 п\г 2020</t>
  </si>
  <si>
    <t xml:space="preserve"> июль 2020</t>
  </si>
  <si>
    <t xml:space="preserve"> август 2020</t>
  </si>
  <si>
    <t xml:space="preserve"> сентябрь 2020</t>
  </si>
  <si>
    <t xml:space="preserve"> октябрь 2020</t>
  </si>
  <si>
    <t xml:space="preserve"> ноябрь 2020</t>
  </si>
  <si>
    <t xml:space="preserve"> декабрь 2020</t>
  </si>
  <si>
    <t xml:space="preserve"> 2 п\г 2020</t>
  </si>
  <si>
    <t xml:space="preserve">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</si>
</sst>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sz val="10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color theme="0"/>
      <name val="Tahoma"/>
      <family val="2"/>
      <charset val="204"/>
    </font>
    <font>
      <sz val="9"/>
      <color rgb="FFFF0000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 indent="1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left" vertical="center"/>
    </xf>
    <xf numFmtId="0" fontId="2" fillId="0" borderId="1" xfId="1" applyFont="1" applyBorder="1" applyAlignment="1" applyProtection="1">
      <alignment vertical="center"/>
    </xf>
    <xf numFmtId="49" fontId="2" fillId="0" borderId="0" xfId="4" applyFont="1" applyBorder="1" applyAlignment="1">
      <alignment horizontal="right" vertical="center"/>
    </xf>
    <xf numFmtId="0" fontId="2" fillId="0" borderId="5" xfId="1" applyFont="1" applyBorder="1" applyAlignment="1" applyProtection="1">
      <alignment vertical="center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8" xfId="5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0" borderId="5" xfId="4" applyFont="1" applyBorder="1" applyAlignment="1" applyProtection="1">
      <alignment vertical="center"/>
    </xf>
    <xf numFmtId="49" fontId="2" fillId="0" borderId="8" xfId="4" applyNumberFormat="1" applyFont="1" applyBorder="1" applyAlignment="1" applyProtection="1">
      <alignment vertical="center"/>
    </xf>
    <xf numFmtId="49" fontId="2" fillId="3" borderId="4" xfId="4" applyFont="1" applyFill="1" applyBorder="1" applyAlignment="1">
      <alignment vertical="center" wrapText="1"/>
    </xf>
    <xf numFmtId="49" fontId="2" fillId="0" borderId="4" xfId="4" applyFont="1" applyBorder="1" applyAlignment="1">
      <alignment horizontal="center" vertical="center" wrapText="1"/>
    </xf>
    <xf numFmtId="164" fontId="2" fillId="4" borderId="4" xfId="4" applyNumberFormat="1" applyFont="1" applyFill="1" applyBorder="1" applyAlignment="1" applyProtection="1">
      <alignment horizontal="right" vertical="center"/>
    </xf>
    <xf numFmtId="0" fontId="7" fillId="0" borderId="0" xfId="1" applyFont="1" applyProtection="1"/>
    <xf numFmtId="49" fontId="8" fillId="0" borderId="0" xfId="4" applyFont="1" applyBorder="1" applyAlignment="1">
      <alignment horizontal="center" vertical="center" wrapText="1"/>
    </xf>
    <xf numFmtId="49" fontId="2" fillId="0" borderId="4" xfId="4" applyFont="1" applyBorder="1" applyAlignment="1">
      <alignment horizontal="left" vertical="center" wrapText="1" indent="1"/>
    </xf>
    <xf numFmtId="164" fontId="2" fillId="5" borderId="4" xfId="4" applyNumberFormat="1" applyFont="1" applyFill="1" applyBorder="1" applyAlignment="1" applyProtection="1">
      <alignment horizontal="right" vertical="center"/>
      <protection locked="0"/>
    </xf>
    <xf numFmtId="49" fontId="8" fillId="0" borderId="7" xfId="4" applyNumberFormat="1" applyFont="1" applyBorder="1" applyAlignment="1" applyProtection="1">
      <alignment vertical="center"/>
    </xf>
    <xf numFmtId="49" fontId="2" fillId="0" borderId="1" xfId="4" applyFont="1" applyFill="1" applyBorder="1" applyAlignment="1" applyProtection="1">
      <alignment horizontal="left" vertical="center" wrapText="1" indent="1"/>
    </xf>
    <xf numFmtId="49" fontId="8" fillId="0" borderId="1" xfId="4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right" vertical="center"/>
    </xf>
    <xf numFmtId="49" fontId="9" fillId="6" borderId="7" xfId="0" applyNumberFormat="1" applyFont="1" applyFill="1" applyBorder="1" applyAlignment="1" applyProtection="1">
      <alignment horizontal="center" vertical="top"/>
    </xf>
    <xf numFmtId="0" fontId="9" fillId="6" borderId="9" xfId="0" applyFont="1" applyFill="1" applyBorder="1" applyAlignment="1" applyProtection="1">
      <alignment horizontal="left" vertical="center" indent="1"/>
    </xf>
    <xf numFmtId="0" fontId="9" fillId="6" borderId="9" xfId="0" applyFont="1" applyFill="1" applyBorder="1" applyAlignment="1" applyProtection="1">
      <alignment horizontal="center" vertical="top"/>
    </xf>
    <xf numFmtId="0" fontId="9" fillId="6" borderId="10" xfId="0" applyFont="1" applyFill="1" applyBorder="1" applyAlignment="1" applyProtection="1">
      <alignment horizontal="center" vertical="top"/>
    </xf>
    <xf numFmtId="49" fontId="8" fillId="0" borderId="0" xfId="4" applyFont="1" applyBorder="1" applyAlignment="1" applyProtection="1">
      <alignment vertical="center"/>
    </xf>
    <xf numFmtId="0" fontId="10" fillId="7" borderId="0" xfId="6" applyFont="1" applyFill="1" applyBorder="1" applyAlignment="1" applyProtection="1">
      <alignment horizontal="center" vertical="center" wrapText="1"/>
    </xf>
    <xf numFmtId="0" fontId="2" fillId="7" borderId="7" xfId="6" applyFont="1" applyFill="1" applyBorder="1" applyAlignment="1" applyProtection="1">
      <alignment horizontal="left" vertical="center"/>
    </xf>
    <xf numFmtId="0" fontId="0" fillId="8" borderId="8" xfId="7" applyNumberFormat="1" applyFont="1" applyFill="1" applyBorder="1" applyAlignment="1" applyProtection="1">
      <alignment horizontal="left" vertical="center" wrapText="1" indent="2"/>
    </xf>
    <xf numFmtId="0" fontId="2" fillId="0" borderId="7" xfId="4" applyNumberFormat="1" applyFont="1" applyBorder="1" applyAlignment="1">
      <alignment horizontal="center" vertical="center" wrapText="1"/>
    </xf>
    <xf numFmtId="164" fontId="2" fillId="4" borderId="7" xfId="4" applyNumberFormat="1" applyFont="1" applyFill="1" applyBorder="1" applyAlignment="1" applyProtection="1">
      <alignment horizontal="right" vertical="center"/>
    </xf>
    <xf numFmtId="165" fontId="2" fillId="9" borderId="4" xfId="4" applyNumberFormat="1" applyFont="1" applyFill="1" applyBorder="1" applyAlignment="1" applyProtection="1">
      <alignment horizontal="right" vertical="center"/>
      <protection locked="0"/>
    </xf>
    <xf numFmtId="49" fontId="11" fillId="0" borderId="0" xfId="1" applyNumberFormat="1" applyFont="1" applyAlignment="1" applyProtection="1">
      <alignment vertical="center"/>
    </xf>
    <xf numFmtId="49" fontId="8" fillId="0" borderId="0" xfId="4" applyNumberFormat="1" applyFont="1" applyAlignment="1" applyProtection="1">
      <alignment vertical="center"/>
    </xf>
    <xf numFmtId="165" fontId="2" fillId="0" borderId="4" xfId="4" applyNumberFormat="1" applyFont="1" applyFill="1" applyBorder="1" applyAlignment="1" applyProtection="1">
      <alignment horizontal="right" vertical="center"/>
    </xf>
    <xf numFmtId="49" fontId="2" fillId="3" borderId="4" xfId="4" applyFont="1" applyFill="1" applyBorder="1" applyAlignment="1">
      <alignment horizontal="left" vertical="center" wrapText="1"/>
    </xf>
    <xf numFmtId="49" fontId="2" fillId="0" borderId="4" xfId="4" applyFont="1" applyFill="1" applyBorder="1" applyAlignment="1" applyProtection="1">
      <alignment horizontal="center" vertical="center" wrapText="1"/>
    </xf>
    <xf numFmtId="49" fontId="2" fillId="0" borderId="4" xfId="4" applyFont="1" applyBorder="1" applyAlignment="1">
      <alignment horizontal="left" vertical="center" wrapText="1" indent="2"/>
    </xf>
    <xf numFmtId="49" fontId="2" fillId="0" borderId="4" xfId="4" applyFont="1" applyBorder="1" applyAlignment="1">
      <alignment horizontal="left" vertical="center" wrapText="1" indent="3"/>
    </xf>
    <xf numFmtId="0" fontId="9" fillId="6" borderId="7" xfId="0" applyFont="1" applyFill="1" applyBorder="1" applyAlignment="1" applyProtection="1">
      <alignment horizontal="center" vertical="top"/>
    </xf>
    <xf numFmtId="49" fontId="2" fillId="0" borderId="4" xfId="4" applyFont="1" applyFill="1" applyBorder="1" applyAlignment="1" applyProtection="1">
      <alignment horizontal="left" vertical="center" wrapText="1" indent="1"/>
    </xf>
    <xf numFmtId="164" fontId="2" fillId="5" borderId="7" xfId="4" applyNumberFormat="1" applyFont="1" applyFill="1" applyBorder="1" applyAlignment="1" applyProtection="1">
      <alignment horizontal="right" vertical="center"/>
      <protection locked="0"/>
    </xf>
    <xf numFmtId="164" fontId="2" fillId="5" borderId="8" xfId="4" applyNumberFormat="1" applyFont="1" applyFill="1" applyBorder="1" applyAlignment="1" applyProtection="1">
      <alignment horizontal="right" vertical="center"/>
      <protection locked="0"/>
    </xf>
    <xf numFmtId="164" fontId="2" fillId="0" borderId="4" xfId="4" applyNumberFormat="1" applyFont="1" applyFill="1" applyBorder="1" applyAlignment="1" applyProtection="1">
      <alignment horizontal="right" vertical="center"/>
    </xf>
    <xf numFmtId="49" fontId="2" fillId="0" borderId="8" xfId="1" applyNumberFormat="1" applyFont="1" applyBorder="1" applyAlignment="1" applyProtection="1">
      <alignment vertical="center"/>
    </xf>
    <xf numFmtId="164" fontId="2" fillId="5" borderId="4" xfId="1" applyNumberFormat="1" applyFont="1" applyFill="1" applyBorder="1" applyAlignment="1" applyProtection="1">
      <alignment horizontal="right" vertical="center"/>
      <protection locked="0"/>
    </xf>
    <xf numFmtId="164" fontId="2" fillId="4" borderId="4" xfId="1" applyNumberFormat="1" applyFont="1" applyFill="1" applyBorder="1" applyAlignment="1" applyProtection="1">
      <alignment horizontal="right" vertical="center"/>
    </xf>
    <xf numFmtId="164" fontId="2" fillId="4" borderId="4" xfId="8" applyNumberFormat="1" applyFont="1" applyFill="1" applyBorder="1" applyAlignment="1" applyProtection="1">
      <alignment horizontal="right" vertical="center"/>
    </xf>
    <xf numFmtId="49" fontId="2" fillId="0" borderId="4" xfId="4" applyFont="1" applyBorder="1" applyAlignment="1">
      <alignment horizontal="left" vertical="center" wrapText="1" indent="4"/>
    </xf>
    <xf numFmtId="0" fontId="8" fillId="0" borderId="0" xfId="1" applyFont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164" fontId="2" fillId="5" borderId="4" xfId="8" applyNumberFormat="1" applyFont="1" applyFill="1" applyBorder="1" applyAlignment="1" applyProtection="1">
      <alignment horizontal="right" vertical="center"/>
      <protection locked="0"/>
    </xf>
    <xf numFmtId="164" fontId="2" fillId="5" borderId="4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4" xfId="1" applyNumberFormat="1" applyFont="1" applyFill="1" applyBorder="1" applyAlignment="1" applyProtection="1">
      <alignment horizontal="right" vertical="center" wrapText="1"/>
    </xf>
    <xf numFmtId="165" fontId="2" fillId="9" borderId="4" xfId="1" applyNumberFormat="1" applyFont="1" applyFill="1" applyBorder="1" applyAlignment="1" applyProtection="1">
      <alignment horizontal="right" vertical="center"/>
      <protection locked="0"/>
    </xf>
    <xf numFmtId="164" fontId="2" fillId="5" borderId="8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Protection="1"/>
    <xf numFmtId="0" fontId="7" fillId="0" borderId="0" xfId="1" applyFont="1" applyBorder="1" applyProtection="1"/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2" fillId="0" borderId="7" xfId="5" applyFont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/>
    </xf>
    <xf numFmtId="0" fontId="2" fillId="0" borderId="7" xfId="5" applyFont="1" applyBorder="1" applyAlignment="1" applyProtection="1">
      <alignment horizontal="center" vertical="center" wrapText="1"/>
    </xf>
    <xf numFmtId="164" fontId="12" fillId="5" borderId="4" xfId="4" applyNumberFormat="1" applyFont="1" applyFill="1" applyBorder="1" applyAlignment="1" applyProtection="1">
      <alignment horizontal="right" vertical="center"/>
      <protection locked="0"/>
    </xf>
    <xf numFmtId="0" fontId="2" fillId="5" borderId="4" xfId="4" applyNumberFormat="1" applyFont="1" applyFill="1" applyBorder="1" applyAlignment="1" applyProtection="1">
      <alignment horizontal="right" vertical="center"/>
      <protection locked="0"/>
    </xf>
    <xf numFmtId="165" fontId="12" fillId="9" borderId="4" xfId="4" applyNumberFormat="1" applyFont="1" applyFill="1" applyBorder="1" applyAlignment="1" applyProtection="1">
      <alignment horizontal="right" vertical="center"/>
      <protection locked="0"/>
    </xf>
    <xf numFmtId="0" fontId="7" fillId="0" borderId="11" xfId="1" applyNumberFormat="1" applyFont="1" applyBorder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4" xfId="5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3" xfId="5" applyFont="1" applyBorder="1" applyAlignment="1" applyProtection="1">
      <alignment horizontal="center" vertical="center" wrapText="1"/>
    </xf>
    <xf numFmtId="49" fontId="2" fillId="2" borderId="7" xfId="4" applyFont="1" applyFill="1" applyBorder="1" applyAlignment="1">
      <alignment horizontal="center" vertical="center"/>
    </xf>
    <xf numFmtId="49" fontId="2" fillId="2" borderId="9" xfId="4" applyFont="1" applyFill="1" applyBorder="1" applyAlignment="1">
      <alignment horizontal="center" vertical="center"/>
    </xf>
    <xf numFmtId="49" fontId="2" fillId="2" borderId="10" xfId="4" applyFont="1" applyFill="1" applyBorder="1" applyAlignment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17" fontId="3" fillId="0" borderId="0" xfId="1" applyNumberFormat="1" applyFont="1" applyFill="1" applyBorder="1" applyAlignment="1" applyProtection="1">
      <alignment horizontal="center" vertical="center"/>
    </xf>
  </cellXfs>
  <cellStyles count="9">
    <cellStyle name="Обычный" xfId="0" builtinId="0"/>
    <cellStyle name="Обычный 10" xfId="4"/>
    <cellStyle name="Обычный_MINENERGO.340.PRIL79(v0.1)" xfId="6"/>
    <cellStyle name="Обычный_ЖКУ_проект3" xfId="7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8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40;&#1051;&#1040;&#1053;&#1057;&#1067;\&#1041;&#1072;&#1083;&#1072;&#1085;&#1089;&#1099;_&#1092;&#1072;&#1082;&#1090;\&#1041;&#1072;&#1083;&#1072;&#1085;&#1089;&#1099;_&#1092;&#1072;&#1082;&#1090;_2019\46EP.STX(v1.0)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84;&#1072;&#1081;2020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80;&#1102;&#1085;&#1100;2020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40;&#1051;&#1040;&#1053;&#1057;&#1067;\&#1041;&#1072;&#1083;&#1072;&#1085;&#1089;&#1099;_&#1092;&#1072;&#1082;&#1090;\&#1041;&#1072;&#1083;&#1072;&#1085;&#1089;&#1099;_&#1092;&#1072;&#1082;&#1090;_2019\46EP.STX(v1.0)_&#1080;&#1102;&#1083;&#1100;.xlsb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80;&#1102;&#1083;&#1100;2020.xlsb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40;&#1051;&#1040;&#1053;&#1057;&#1067;\&#1041;&#1072;&#1083;&#1072;&#1085;&#1089;&#1099;_&#1092;&#1072;&#1082;&#1090;\&#1041;&#1072;&#1083;&#1072;&#1085;&#1089;&#1099;_&#1092;&#1072;&#1082;&#1090;_2019\46EP.STX(v1.0)_&#1072;&#1074;&#1075;&#1091;&#1089;&#1090;.xlsb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72;&#1074;&#1075;&#1091;&#1089;&#1090;2020.xlsb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40;&#1051;&#1040;&#1053;&#1057;&#1067;\&#1041;&#1072;&#1083;&#1072;&#1085;&#1089;&#1099;_&#1092;&#1072;&#1082;&#1090;\&#1041;&#1072;&#1083;&#1072;&#1085;&#1089;&#1099;_&#1092;&#1072;&#1082;&#1090;_2019\46EP.STX(v1.0)_&#1089;&#1077;&#1085;&#1090;&#1103;&#1073;&#1088;&#1100;.xlsb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89;&#1077;&#1085;&#1090;&#1103;&#1073;&#1088;&#1100;20.xlsb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40;&#1051;&#1040;&#1053;&#1057;&#1067;\&#1041;&#1072;&#1083;&#1072;&#1085;&#1089;&#1099;_&#1092;&#1072;&#1082;&#1090;\&#1041;&#1072;&#1083;&#1072;&#1085;&#1089;&#1099;_&#1092;&#1072;&#1082;&#1090;_2019\46EP.STX(v1.0)_&#1086;&#1082;&#1090;&#1103;&#1073;&#1088;&#1100;.xlsb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86;&#1082;&#1090;&#1103;&#1073;&#1088;&#1100;2020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40;&#1051;&#1040;&#1053;&#1057;&#1067;\&#1041;&#1072;&#1083;&#1072;&#1085;&#1089;&#1099;_&#1092;&#1072;&#1082;&#1090;\&#1041;&#1072;&#1083;&#1072;&#1085;&#1089;&#1099;_&#1092;&#1072;&#1082;&#1090;_2019\46EP.STX(v1.0)_&#1103;&#1085;&#1074;&#1072;&#1088;&#1100;.xlsb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40;&#1051;&#1040;&#1053;&#1057;&#1067;\&#1041;&#1072;&#1083;&#1072;&#1085;&#1089;&#1099;_&#1092;&#1072;&#1082;&#1090;\&#1041;&#1072;&#1083;&#1072;&#1085;&#1089;&#1099;_&#1092;&#1072;&#1082;&#1090;_2019\46EP.STX(v1.0)_&#1085;&#1086;&#1103;&#1073;&#1088;&#1100;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85;&#1086;&#1103;&#1073;&#1088;&#1100;2020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76;&#1077;&#1082;&#1072;&#1073;&#1088;&#1100;2020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103;&#1085;&#1074;&#1072;&#1088;&#1100;2020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40;&#1051;&#1040;&#1053;&#1057;&#1067;\&#1041;&#1072;&#1083;&#1072;&#1085;&#1089;&#1099;_&#1092;&#1072;&#1082;&#1090;\&#1041;&#1072;&#1083;&#1072;&#1085;&#1089;&#1099;_&#1092;&#1072;&#1082;&#1090;_2019\46EP.STX(v1.0)_&#1092;&#1077;&#1074;&#1088;&#1072;&#1083;&#1100;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%20_&#1092;&#1077;&#1074;&#1088;&#1072;&#1083;&#1100;2020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84;&#1072;&#1088;&#1090;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40;&#1051;&#1040;&#1053;&#1057;&#1067;\&#1041;&#1072;&#1083;&#1072;&#1085;&#1089;&#1099;_&#1092;&#1072;&#1082;&#1090;\&#1041;&#1072;&#1083;&#1072;&#1085;&#1089;&#1099;_&#1092;&#1072;&#1082;&#1090;_2019\46EP.STX(v1.0)_&#1072;&#1087;&#1088;&#1077;&#1083;&#1100;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72;&#1087;&#1088;&#1077;&#1083;&#1100;2020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40;&#1051;&#1040;&#1053;&#1057;&#1067;\&#1041;&#1072;&#1083;&#1072;&#1085;&#1089;&#1099;_&#1092;&#1072;&#1082;&#1090;\&#1041;&#1072;&#1083;&#1072;&#1085;&#1089;&#1099;_&#1092;&#1072;&#1082;&#1090;_2019\46EP.STX(v1.0)_&#1084;&#1072;&#1081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15">
          <cell r="G15" t="str">
            <v>ЗАО "Коттон Вэй"</v>
          </cell>
        </row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="60" zoomScaleNormal="100" workbookViewId="0">
      <selection activeCell="G9" sqref="G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t="11.25" hidden="1" customHeight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t="11.25" hidden="1" customHeight="1" x14ac:dyDescent="0.25"/>
    <row r="3" spans="1:77" ht="11.25" hidden="1" customHeight="1" x14ac:dyDescent="0.25"/>
    <row r="4" spans="1:77" ht="11.25" hidden="1" customHeight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t="11.25" hidden="1" customHeight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t="11.25" hidden="1" customHeight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4" t="s">
        <v>11</v>
      </c>
      <c r="E8" s="84"/>
      <c r="F8" s="9"/>
      <c r="G8" s="95" t="s">
        <v>332</v>
      </c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5" t="s">
        <v>13</v>
      </c>
      <c r="E11" s="87" t="s">
        <v>14</v>
      </c>
      <c r="F11" s="87" t="s">
        <v>15</v>
      </c>
      <c r="G11" s="87" t="s">
        <v>16</v>
      </c>
      <c r="H11" s="87" t="s">
        <v>17</v>
      </c>
      <c r="I11" s="87"/>
      <c r="J11" s="87"/>
      <c r="K11" s="89"/>
      <c r="L11" s="13"/>
    </row>
    <row r="12" spans="1:77" ht="15" customHeight="1" x14ac:dyDescent="0.25">
      <c r="C12" s="6"/>
      <c r="D12" s="86"/>
      <c r="E12" s="88"/>
      <c r="F12" s="88"/>
      <c r="G12" s="88"/>
      <c r="H12" s="79" t="s">
        <v>18</v>
      </c>
      <c r="I12" s="79" t="s">
        <v>19</v>
      </c>
      <c r="J12" s="79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90" t="s">
        <v>22</v>
      </c>
      <c r="E14" s="91"/>
      <c r="F14" s="91"/>
      <c r="G14" s="91"/>
      <c r="H14" s="91"/>
      <c r="I14" s="91"/>
      <c r="J14" s="91"/>
      <c r="K14" s="92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1813.6220000000001</v>
      </c>
      <c r="H15" s="23">
        <f>H16+H17+H20+H23</f>
        <v>1813.6220000000001</v>
      </c>
      <c r="I15" s="23">
        <f>I16+I17+I20+I23</f>
        <v>0</v>
      </c>
      <c r="J15" s="23">
        <f>J16+J17+J20+J23</f>
        <v>0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1813.6220000000001</v>
      </c>
      <c r="H23" s="23">
        <f>SUM(H24:H26)</f>
        <v>1813.6220000000001</v>
      </c>
      <c r="I23" s="23">
        <f>SUM(I24:I26)</f>
        <v>0</v>
      </c>
      <c r="J23" s="23">
        <f>SUM(J24:J26)</f>
        <v>0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1813.6220000000001</v>
      </c>
      <c r="H25" s="42">
        <v>1813.6220000000001</v>
      </c>
      <c r="I25" s="42">
        <v>0</v>
      </c>
      <c r="J25" s="42"/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3376.44</v>
      </c>
      <c r="H27" s="23">
        <f>H29+H30+H31</f>
        <v>0</v>
      </c>
      <c r="I27" s="23">
        <f>I28+I30+I31</f>
        <v>0</v>
      </c>
      <c r="J27" s="23">
        <f>J28+J29+J31</f>
        <v>1813.6220000000001</v>
      </c>
      <c r="K27" s="23">
        <f>K28+K29+K30</f>
        <v>1562.818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1813.6220000000001</v>
      </c>
      <c r="H28" s="45"/>
      <c r="I28" s="27"/>
      <c r="J28" s="27">
        <f>H25</f>
        <v>1813.6220000000001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1562.818</v>
      </c>
      <c r="H30" s="27"/>
      <c r="I30" s="27"/>
      <c r="J30" s="45"/>
      <c r="K30" s="27">
        <f>H25+J25-J36-J46</f>
        <v>1562.818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1695.5320000000002</v>
      </c>
      <c r="H33" s="23">
        <f>H34+H36+H39+H42</f>
        <v>0</v>
      </c>
      <c r="I33" s="23">
        <f>I34+I36+I39+I42</f>
        <v>0</v>
      </c>
      <c r="J33" s="23">
        <f>J34+J36+J39+J42</f>
        <v>250.804</v>
      </c>
      <c r="K33" s="23">
        <f>K34+K36+K39+K42</f>
        <v>1444.7280000000001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1695.5320000000002</v>
      </c>
      <c r="H36" s="27">
        <v>0</v>
      </c>
      <c r="I36" s="27">
        <v>0</v>
      </c>
      <c r="J36" s="27">
        <v>250.804</v>
      </c>
      <c r="K36" s="27">
        <v>1444.7280000000001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3376.44</v>
      </c>
      <c r="H43" s="27">
        <f>J28</f>
        <v>1813.6220000000001</v>
      </c>
      <c r="I43" s="27"/>
      <c r="J43" s="27">
        <f>K30</f>
        <v>1562.818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118.09</v>
      </c>
      <c r="H46" s="27"/>
      <c r="I46" s="27"/>
      <c r="J46" s="27"/>
      <c r="K46" s="27">
        <v>118.09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132.5</v>
      </c>
      <c r="H48" s="27"/>
      <c r="I48" s="27"/>
      <c r="J48" s="27"/>
      <c r="K48" s="27">
        <f>0.1325*1000</f>
        <v>132.5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-14.409999999999997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-14.409999999999997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90" t="s">
        <v>109</v>
      </c>
      <c r="E51" s="91"/>
      <c r="F51" s="91"/>
      <c r="G51" s="91"/>
      <c r="H51" s="91"/>
      <c r="I51" s="91"/>
      <c r="J51" s="91"/>
      <c r="K51" s="92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5.08</v>
      </c>
      <c r="H52" s="23">
        <f>H53+H54+H57+H60</f>
        <v>3.98</v>
      </c>
      <c r="I52" s="23">
        <f>I53+I54+I57+I60</f>
        <v>0</v>
      </c>
      <c r="J52" s="23">
        <f>J53+J54+J57+J60</f>
        <v>1.1000000000000001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5.08</v>
      </c>
      <c r="H60" s="23">
        <f>SUM(H61:H63)</f>
        <v>3.98</v>
      </c>
      <c r="I60" s="23">
        <f>SUM(I61:I63)</f>
        <v>0</v>
      </c>
      <c r="J60" s="23">
        <f>SUM(J61:J63)</f>
        <v>1.1000000000000001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5.08</v>
      </c>
      <c r="H62" s="52">
        <v>3.98</v>
      </c>
      <c r="I62" s="52">
        <v>0</v>
      </c>
      <c r="J62" s="52">
        <f>5.08-H62</f>
        <v>1.1000000000000001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7.840344</v>
      </c>
      <c r="H64" s="23">
        <f>H66+H67+H68</f>
        <v>0</v>
      </c>
      <c r="I64" s="23">
        <f>I65+I67+I68</f>
        <v>0</v>
      </c>
      <c r="J64" s="23">
        <f>J65+J66+J68</f>
        <v>3.98</v>
      </c>
      <c r="K64" s="23">
        <f>K65+K66+K67</f>
        <v>3.860344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3.98</v>
      </c>
      <c r="H65" s="45"/>
      <c r="I65" s="27"/>
      <c r="J65" s="27">
        <f>H62</f>
        <v>3.98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3.860344</v>
      </c>
      <c r="H67" s="27"/>
      <c r="I67" s="27"/>
      <c r="J67" s="45"/>
      <c r="K67" s="27">
        <f>K73+K83</f>
        <v>3.860344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4.87</v>
      </c>
      <c r="H70" s="23">
        <f>H71+H73+H76+H79</f>
        <v>0</v>
      </c>
      <c r="I70" s="23">
        <f>I71+I73+I76+I79</f>
        <v>0</v>
      </c>
      <c r="J70" s="23">
        <f>J71+J73+J76+J79</f>
        <v>1.2196560000000001</v>
      </c>
      <c r="K70" s="23">
        <f>K71+K73+K76+K79</f>
        <v>3.650344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4.87</v>
      </c>
      <c r="H73" s="27">
        <v>0</v>
      </c>
      <c r="I73" s="27">
        <v>0</v>
      </c>
      <c r="J73" s="27">
        <f>5.0819*0.24</f>
        <v>1.2196560000000001</v>
      </c>
      <c r="K73" s="27">
        <f>4.87-J73</f>
        <v>3.650344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7.840344</v>
      </c>
      <c r="H80" s="27">
        <f>H62</f>
        <v>3.98</v>
      </c>
      <c r="I80" s="27"/>
      <c r="J80" s="27">
        <f>K67</f>
        <v>3.860344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0.20999999999999996</v>
      </c>
      <c r="H83" s="27"/>
      <c r="I83" s="27"/>
      <c r="J83" s="27"/>
      <c r="K83" s="27">
        <f>G62-G73</f>
        <v>0.20999999999999996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0.223</v>
      </c>
      <c r="H85" s="27"/>
      <c r="I85" s="27"/>
      <c r="J85" s="27"/>
      <c r="K85" s="27">
        <v>0.223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-1.3000000000000039E-2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-1.3000000000000039E-2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90" t="s">
        <v>170</v>
      </c>
      <c r="E88" s="91"/>
      <c r="F88" s="91"/>
      <c r="G88" s="91"/>
      <c r="H88" s="91"/>
      <c r="I88" s="91"/>
      <c r="J88" s="91"/>
      <c r="K88" s="92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4.87</v>
      </c>
      <c r="H89" s="27"/>
      <c r="I89" s="27"/>
      <c r="J89" s="42">
        <f>J73</f>
        <v>1.2196560000000001</v>
      </c>
      <c r="K89" s="42">
        <f>K73</f>
        <v>3.650344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90" t="s">
        <v>180</v>
      </c>
      <c r="E92" s="91"/>
      <c r="F92" s="91"/>
      <c r="G92" s="91"/>
      <c r="H92" s="91"/>
      <c r="I92" s="91"/>
      <c r="J92" s="91"/>
      <c r="K92" s="92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1695.5320000000002</v>
      </c>
      <c r="H120" s="57">
        <f>SUM(H121:H122)</f>
        <v>0</v>
      </c>
      <c r="I120" s="57">
        <f>SUM(I121:I122)</f>
        <v>0</v>
      </c>
      <c r="J120" s="57">
        <f>SUM(J121:J122)</f>
        <v>250.804</v>
      </c>
      <c r="K120" s="57">
        <f>SUM(K121:K122)</f>
        <v>1444.7280000000001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1695.5320000000002</v>
      </c>
      <c r="H121" s="56"/>
      <c r="I121" s="56"/>
      <c r="J121" s="56">
        <f>J36</f>
        <v>250.804</v>
      </c>
      <c r="K121" s="56">
        <f>K36</f>
        <v>1444.7280000000001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90" t="s">
        <v>268</v>
      </c>
      <c r="E125" s="91"/>
      <c r="F125" s="91"/>
      <c r="G125" s="91"/>
      <c r="H125" s="91"/>
      <c r="I125" s="91"/>
      <c r="J125" s="91"/>
      <c r="K125" s="92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2555.1667240000002</v>
      </c>
      <c r="H142" s="64">
        <f>SUM( H143:H144)</f>
        <v>0</v>
      </c>
      <c r="I142" s="64">
        <f>SUM( I143:I144)</f>
        <v>0</v>
      </c>
      <c r="J142" s="64">
        <f>SUM( J143:J144)</f>
        <v>377.96162799999996</v>
      </c>
      <c r="K142" s="64">
        <f>SUM( K143:K144)</f>
        <v>2177.2050960000001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2555.1667240000002</v>
      </c>
      <c r="H143" s="63"/>
      <c r="I143" s="63"/>
      <c r="J143" s="65">
        <f>J121*1.507</f>
        <v>377.96162799999996</v>
      </c>
      <c r="K143" s="65">
        <f>K121*1.507</f>
        <v>2177.2050960000001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83" t="str">
        <f>IF([2]Титульный!G45="","",[2]Титульный!G45)</f>
        <v>Коммерческий директор</v>
      </c>
      <c r="G148" s="83"/>
      <c r="H148" s="70"/>
      <c r="I148" s="83" t="str">
        <f>IF([3]Титульный!G44="","",[3]Титульный!G44)</f>
        <v>Байков Алексей Александрович</v>
      </c>
      <c r="J148" s="83"/>
      <c r="K148" s="83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93" t="s">
        <v>322</v>
      </c>
      <c r="G149" s="93"/>
      <c r="H149" s="72"/>
      <c r="I149" s="93" t="s">
        <v>323</v>
      </c>
      <c r="J149" s="93"/>
      <c r="K149" s="93"/>
      <c r="L149" s="72"/>
      <c r="M149" s="93" t="s">
        <v>324</v>
      </c>
      <c r="N149" s="93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83" t="str">
        <f>IF([2]Титульный!G46="","",[2]Титульный!G46)</f>
        <v>(495) 637 3220</v>
      </c>
      <c r="G151" s="83"/>
      <c r="H151" s="83"/>
      <c r="I151" s="24"/>
      <c r="J151" s="73" t="s">
        <v>327</v>
      </c>
      <c r="K151" s="78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94" t="s">
        <v>329</v>
      </c>
      <c r="G152" s="94"/>
      <c r="H152" s="94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9:G149"/>
    <mergeCell ref="I149:K149"/>
    <mergeCell ref="M149:N149"/>
    <mergeCell ref="F151:H151"/>
    <mergeCell ref="F152:H152"/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="60" zoomScaleNormal="100" workbookViewId="0">
      <selection activeCell="G9" sqref="G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t="11.25" hidden="1" customHeight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t="11.25" hidden="1" customHeight="1" x14ac:dyDescent="0.25"/>
    <row r="3" spans="1:77" ht="11.25" hidden="1" customHeight="1" x14ac:dyDescent="0.25"/>
    <row r="4" spans="1:77" ht="11.25" hidden="1" customHeight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t="11.25" hidden="1" customHeight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t="11.25" hidden="1" customHeight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4" t="s">
        <v>11</v>
      </c>
      <c r="E8" s="84"/>
      <c r="F8" s="9"/>
      <c r="G8" s="9" t="s">
        <v>339</v>
      </c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5" t="s">
        <v>13</v>
      </c>
      <c r="E11" s="87" t="s">
        <v>14</v>
      </c>
      <c r="F11" s="87" t="s">
        <v>15</v>
      </c>
      <c r="G11" s="87" t="s">
        <v>16</v>
      </c>
      <c r="H11" s="87" t="s">
        <v>17</v>
      </c>
      <c r="I11" s="87"/>
      <c r="J11" s="87"/>
      <c r="K11" s="89"/>
      <c r="L11" s="13"/>
    </row>
    <row r="12" spans="1:77" ht="15" customHeight="1" x14ac:dyDescent="0.25">
      <c r="C12" s="6"/>
      <c r="D12" s="86"/>
      <c r="E12" s="88"/>
      <c r="F12" s="88"/>
      <c r="G12" s="88"/>
      <c r="H12" s="79" t="s">
        <v>18</v>
      </c>
      <c r="I12" s="79" t="s">
        <v>19</v>
      </c>
      <c r="J12" s="79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90" t="s">
        <v>22</v>
      </c>
      <c r="E14" s="91"/>
      <c r="F14" s="91"/>
      <c r="G14" s="91"/>
      <c r="H14" s="91"/>
      <c r="I14" s="91"/>
      <c r="J14" s="91"/>
      <c r="K14" s="92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1338.5450000000001</v>
      </c>
      <c r="H15" s="23">
        <f>H16+H17+H20+H23</f>
        <v>1338.5450000000001</v>
      </c>
      <c r="I15" s="23">
        <f>I16+I17+I20+I23</f>
        <v>0</v>
      </c>
      <c r="J15" s="23">
        <f>J16+J17+J20+J23</f>
        <v>0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1338.5450000000001</v>
      </c>
      <c r="H23" s="23">
        <f>SUM(H24:H26)</f>
        <v>1338.5450000000001</v>
      </c>
      <c r="I23" s="23">
        <f>SUM(I24:I26)</f>
        <v>0</v>
      </c>
      <c r="J23" s="23">
        <f>SUM(J24:J26)</f>
        <v>0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1338.5450000000001</v>
      </c>
      <c r="H25" s="42">
        <v>1338.5450000000001</v>
      </c>
      <c r="I25" s="42">
        <v>0</v>
      </c>
      <c r="J25" s="42"/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2536.2660000000001</v>
      </c>
      <c r="H27" s="23">
        <f>H29+H30+H31</f>
        <v>0</v>
      </c>
      <c r="I27" s="23">
        <f>I28+I30+I31</f>
        <v>0</v>
      </c>
      <c r="J27" s="23">
        <f>J28+J29+J31</f>
        <v>1338.5450000000001</v>
      </c>
      <c r="K27" s="23">
        <f>K28+K29+K30</f>
        <v>1197.721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1338.5450000000001</v>
      </c>
      <c r="H28" s="45"/>
      <c r="I28" s="27"/>
      <c r="J28" s="27">
        <f>H25</f>
        <v>1338.5450000000001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1197.721</v>
      </c>
      <c r="H30" s="27"/>
      <c r="I30" s="27"/>
      <c r="J30" s="45"/>
      <c r="K30" s="27">
        <f>H25+J25-J36-J46</f>
        <v>1197.721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1180.182</v>
      </c>
      <c r="H33" s="23">
        <f>H34+H36+H39+H42</f>
        <v>0</v>
      </c>
      <c r="I33" s="23">
        <f>I34+I36+I39+I42</f>
        <v>0</v>
      </c>
      <c r="J33" s="23">
        <f>J34+J36+J39+J42</f>
        <v>140.82400000000001</v>
      </c>
      <c r="K33" s="23">
        <f>K34+K36+K39+K42</f>
        <v>1039.3579999999999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1180.182</v>
      </c>
      <c r="H36" s="27">
        <v>0</v>
      </c>
      <c r="I36" s="27">
        <v>0</v>
      </c>
      <c r="J36" s="27">
        <v>140.82400000000001</v>
      </c>
      <c r="K36" s="27">
        <v>1039.3579999999999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2536.2660000000001</v>
      </c>
      <c r="H43" s="27">
        <f>J28</f>
        <v>1338.5450000000001</v>
      </c>
      <c r="I43" s="27"/>
      <c r="J43" s="27">
        <f>K30</f>
        <v>1197.721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158.36300000000006</v>
      </c>
      <c r="H46" s="27"/>
      <c r="I46" s="27"/>
      <c r="J46" s="27"/>
      <c r="K46" s="27">
        <f>G25-G36</f>
        <v>158.36300000000006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/>
      <c r="K47" s="27"/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49.4</v>
      </c>
      <c r="H48" s="27"/>
      <c r="I48" s="27"/>
      <c r="J48" s="27"/>
      <c r="K48" s="27">
        <f>0.0494*1000</f>
        <v>49.4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108.96300000000005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108.96300000000005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90" t="s">
        <v>109</v>
      </c>
      <c r="E51" s="91"/>
      <c r="F51" s="91"/>
      <c r="G51" s="91"/>
      <c r="H51" s="91"/>
      <c r="I51" s="91"/>
      <c r="J51" s="91"/>
      <c r="K51" s="92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2.16</v>
      </c>
      <c r="H52" s="23">
        <f>H53+H54+H57+H60</f>
        <v>2.16</v>
      </c>
      <c r="I52" s="23">
        <f>I53+I54+I57+I60</f>
        <v>0</v>
      </c>
      <c r="J52" s="23">
        <f>J53+J54+J57+J60</f>
        <v>0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2.16</v>
      </c>
      <c r="H60" s="23">
        <f>SUM(H61:H63)</f>
        <v>2.16</v>
      </c>
      <c r="I60" s="23">
        <f>SUM(I61:I63)</f>
        <v>0</v>
      </c>
      <c r="J60" s="23">
        <f>SUM(J61:J63)</f>
        <v>0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2.16</v>
      </c>
      <c r="H62" s="52">
        <v>2.16</v>
      </c>
      <c r="I62" s="52">
        <v>0</v>
      </c>
      <c r="J62" s="52"/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4.0780000000000003</v>
      </c>
      <c r="H64" s="23">
        <f>H66+H67+H68</f>
        <v>0</v>
      </c>
      <c r="I64" s="23">
        <f>I65+I67+I68</f>
        <v>0</v>
      </c>
      <c r="J64" s="23">
        <f>J65+J66+J68</f>
        <v>2.16</v>
      </c>
      <c r="K64" s="23">
        <f>K65+K66+K67</f>
        <v>1.9180000000000001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2.16</v>
      </c>
      <c r="H65" s="45"/>
      <c r="I65" s="27"/>
      <c r="J65" s="27">
        <f>H62</f>
        <v>2.16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1.9180000000000001</v>
      </c>
      <c r="H67" s="27"/>
      <c r="I67" s="27"/>
      <c r="J67" s="45"/>
      <c r="K67" s="27">
        <f>K73+K83</f>
        <v>1.9180000000000001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2.0249999999999999</v>
      </c>
      <c r="H70" s="23">
        <f>H71+H73+H76+H79</f>
        <v>0</v>
      </c>
      <c r="I70" s="23">
        <f>I71+I73+I76+I79</f>
        <v>0</v>
      </c>
      <c r="J70" s="23">
        <f>J71+J73+J76+J79</f>
        <v>0.24199999999999999</v>
      </c>
      <c r="K70" s="23">
        <f>K71+K73+K76+K79</f>
        <v>1.7829999999999999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2.0249999999999999</v>
      </c>
      <c r="H73" s="27">
        <v>0</v>
      </c>
      <c r="I73" s="27">
        <v>0</v>
      </c>
      <c r="J73" s="27">
        <v>0.24199999999999999</v>
      </c>
      <c r="K73" s="27">
        <v>1.7829999999999999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4.0780000000000003</v>
      </c>
      <c r="H80" s="27">
        <f>H62</f>
        <v>2.16</v>
      </c>
      <c r="I80" s="27"/>
      <c r="J80" s="27">
        <f>K67</f>
        <v>1.9180000000000001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0.13500000000000023</v>
      </c>
      <c r="H83" s="27"/>
      <c r="I83" s="27"/>
      <c r="J83" s="27"/>
      <c r="K83" s="27">
        <f>G62-G73</f>
        <v>0.13500000000000023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0.1285</v>
      </c>
      <c r="H85" s="27"/>
      <c r="I85" s="27"/>
      <c r="J85" s="27"/>
      <c r="K85" s="27">
        <v>0.1285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6.5000000000002278E-3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6.5000000000002278E-3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90" t="s">
        <v>170</v>
      </c>
      <c r="E88" s="91"/>
      <c r="F88" s="91"/>
      <c r="G88" s="91"/>
      <c r="H88" s="91"/>
      <c r="I88" s="91"/>
      <c r="J88" s="91"/>
      <c r="K88" s="92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2.0249999999999999</v>
      </c>
      <c r="H89" s="27"/>
      <c r="I89" s="27"/>
      <c r="J89" s="42">
        <f>J73</f>
        <v>0.24199999999999999</v>
      </c>
      <c r="K89" s="42">
        <f>K73</f>
        <v>1.7829999999999999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90" t="s">
        <v>180</v>
      </c>
      <c r="E92" s="91"/>
      <c r="F92" s="91"/>
      <c r="G92" s="91"/>
      <c r="H92" s="91"/>
      <c r="I92" s="91"/>
      <c r="J92" s="91"/>
      <c r="K92" s="92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1180.182</v>
      </c>
      <c r="H120" s="57">
        <f>SUM(H121:H122)</f>
        <v>0</v>
      </c>
      <c r="I120" s="57">
        <f>SUM(I121:I122)</f>
        <v>0</v>
      </c>
      <c r="J120" s="57">
        <f>SUM(J121:J122)</f>
        <v>140.82400000000001</v>
      </c>
      <c r="K120" s="57">
        <f>SUM(K121:K122)</f>
        <v>1039.3579999999999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1180.182</v>
      </c>
      <c r="H121" s="56"/>
      <c r="I121" s="56"/>
      <c r="J121" s="56">
        <f>J36</f>
        <v>140.82400000000001</v>
      </c>
      <c r="K121" s="56">
        <f>K36</f>
        <v>1039.3579999999999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90" t="s">
        <v>268</v>
      </c>
      <c r="E125" s="91"/>
      <c r="F125" s="91"/>
      <c r="G125" s="91"/>
      <c r="H125" s="91"/>
      <c r="I125" s="91"/>
      <c r="J125" s="91"/>
      <c r="K125" s="92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1784.4351839999999</v>
      </c>
      <c r="H142" s="64">
        <f>SUM( H143:H144)</f>
        <v>0</v>
      </c>
      <c r="I142" s="64">
        <f>SUM( I143:I144)</f>
        <v>0</v>
      </c>
      <c r="J142" s="64">
        <f>SUM( J143:J144)</f>
        <v>212.92588800000001</v>
      </c>
      <c r="K142" s="64">
        <f>SUM( K143:K144)</f>
        <v>1571.5092959999999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1784.4351839999999</v>
      </c>
      <c r="H143" s="63"/>
      <c r="I143" s="63"/>
      <c r="J143" s="65">
        <f>J121*1.512</f>
        <v>212.92588800000001</v>
      </c>
      <c r="K143" s="65">
        <f>K121*1.512</f>
        <v>1571.5092959999999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83" t="str">
        <f>IF([12]Титульный!G45="","",[12]Титульный!G45)</f>
        <v>Коммерческий директор</v>
      </c>
      <c r="G148" s="83"/>
      <c r="H148" s="70"/>
      <c r="I148" s="83" t="str">
        <f>IF([13]Титульный!G44="","",[13]Титульный!G44)</f>
        <v>Байков Алексей Александрович</v>
      </c>
      <c r="J148" s="83"/>
      <c r="K148" s="83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93" t="s">
        <v>322</v>
      </c>
      <c r="G149" s="93"/>
      <c r="H149" s="72"/>
      <c r="I149" s="93" t="s">
        <v>323</v>
      </c>
      <c r="J149" s="93"/>
      <c r="K149" s="93"/>
      <c r="L149" s="72"/>
      <c r="M149" s="93" t="s">
        <v>324</v>
      </c>
      <c r="N149" s="93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83" t="str">
        <f>IF([12]Титульный!G46="","",[12]Титульный!G46)</f>
        <v>(495) 637 3220</v>
      </c>
      <c r="G151" s="83"/>
      <c r="H151" s="83"/>
      <c r="I151" s="24"/>
      <c r="J151" s="73" t="s">
        <v>327</v>
      </c>
      <c r="K151" s="78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94" t="s">
        <v>329</v>
      </c>
      <c r="G152" s="94"/>
      <c r="H152" s="94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9:G149"/>
    <mergeCell ref="I149:K149"/>
    <mergeCell ref="M149:N149"/>
    <mergeCell ref="F151:H151"/>
    <mergeCell ref="F152:H152"/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="60" zoomScaleNormal="100" workbookViewId="0">
      <selection activeCell="G9" sqref="G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t="11.25" hidden="1" customHeight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t="11.25" hidden="1" customHeight="1" x14ac:dyDescent="0.25"/>
    <row r="3" spans="1:77" ht="11.25" hidden="1" customHeight="1" x14ac:dyDescent="0.25"/>
    <row r="4" spans="1:77" ht="11.25" hidden="1" customHeight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t="11.25" hidden="1" customHeight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t="11.25" hidden="1" customHeight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4" t="s">
        <v>11</v>
      </c>
      <c r="E8" s="84"/>
      <c r="F8" s="9"/>
      <c r="G8" s="9" t="s">
        <v>340</v>
      </c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5" t="s">
        <v>13</v>
      </c>
      <c r="E11" s="87" t="s">
        <v>14</v>
      </c>
      <c r="F11" s="87" t="s">
        <v>15</v>
      </c>
      <c r="G11" s="87" t="s">
        <v>16</v>
      </c>
      <c r="H11" s="87" t="s">
        <v>17</v>
      </c>
      <c r="I11" s="87"/>
      <c r="J11" s="87"/>
      <c r="K11" s="89"/>
      <c r="L11" s="13"/>
    </row>
    <row r="12" spans="1:77" ht="15" customHeight="1" x14ac:dyDescent="0.25">
      <c r="C12" s="6"/>
      <c r="D12" s="86"/>
      <c r="E12" s="88"/>
      <c r="F12" s="88"/>
      <c r="G12" s="88"/>
      <c r="H12" s="79" t="s">
        <v>18</v>
      </c>
      <c r="I12" s="79" t="s">
        <v>19</v>
      </c>
      <c r="J12" s="79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90" t="s">
        <v>22</v>
      </c>
      <c r="E14" s="91"/>
      <c r="F14" s="91"/>
      <c r="G14" s="91"/>
      <c r="H14" s="91"/>
      <c r="I14" s="91"/>
      <c r="J14" s="91"/>
      <c r="K14" s="92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1304.279</v>
      </c>
      <c r="H15" s="23">
        <f>H16+H17+H20+H23</f>
        <v>1304.279</v>
      </c>
      <c r="I15" s="23">
        <f>I16+I17+I20+I23</f>
        <v>0</v>
      </c>
      <c r="J15" s="23">
        <f>J16+J17+J20+J23</f>
        <v>0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1304.279</v>
      </c>
      <c r="H23" s="23">
        <f>SUM(H24:H26)</f>
        <v>1304.279</v>
      </c>
      <c r="I23" s="23">
        <f>SUM(I24:I26)</f>
        <v>0</v>
      </c>
      <c r="J23" s="23">
        <f>SUM(J24:J26)</f>
        <v>0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1304.279</v>
      </c>
      <c r="H25" s="42">
        <v>1304.279</v>
      </c>
      <c r="I25" s="42">
        <v>0</v>
      </c>
      <c r="J25" s="42"/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2453.6080000000002</v>
      </c>
      <c r="H27" s="23">
        <f>H29+H30+H31</f>
        <v>0</v>
      </c>
      <c r="I27" s="23">
        <f>I28+I30+I31</f>
        <v>0</v>
      </c>
      <c r="J27" s="23">
        <f>J28+J29+J31</f>
        <v>1304.279</v>
      </c>
      <c r="K27" s="23">
        <f>K28+K29+K30</f>
        <v>1149.329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1304.279</v>
      </c>
      <c r="H28" s="45"/>
      <c r="I28" s="27"/>
      <c r="J28" s="27">
        <f>H25</f>
        <v>1304.279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1149.329</v>
      </c>
      <c r="H30" s="27"/>
      <c r="I30" s="27"/>
      <c r="J30" s="45"/>
      <c r="K30" s="27">
        <f>H25+J25-J36-J46</f>
        <v>1149.329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1178.335</v>
      </c>
      <c r="H33" s="23">
        <f>H34+H36+H39+H42</f>
        <v>0</v>
      </c>
      <c r="I33" s="23">
        <f>I34+I36+I39+I42</f>
        <v>0</v>
      </c>
      <c r="J33" s="23">
        <f>J34+J36+J39+J42</f>
        <v>154.94999999999999</v>
      </c>
      <c r="K33" s="23">
        <f>K34+K36+K39+K42</f>
        <v>1023.385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1178.335</v>
      </c>
      <c r="H36" s="27">
        <v>0</v>
      </c>
      <c r="I36" s="27">
        <v>0</v>
      </c>
      <c r="J36" s="27">
        <v>154.94999999999999</v>
      </c>
      <c r="K36" s="27">
        <v>1023.385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2453.6080000000002</v>
      </c>
      <c r="H43" s="27">
        <f>J28</f>
        <v>1304.279</v>
      </c>
      <c r="I43" s="27"/>
      <c r="J43" s="27">
        <f>K30</f>
        <v>1149.329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125.94399999999996</v>
      </c>
      <c r="H46" s="27"/>
      <c r="I46" s="27"/>
      <c r="J46" s="27"/>
      <c r="K46" s="27">
        <f>G25-G36</f>
        <v>125.94399999999996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/>
      <c r="K47" s="27"/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52.6</v>
      </c>
      <c r="H48" s="27"/>
      <c r="I48" s="27"/>
      <c r="J48" s="27"/>
      <c r="K48" s="27">
        <f>0.0526*1000</f>
        <v>52.6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73.343999999999966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73.343999999999966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90" t="s">
        <v>109</v>
      </c>
      <c r="E51" s="91"/>
      <c r="F51" s="91"/>
      <c r="G51" s="91"/>
      <c r="H51" s="91"/>
      <c r="I51" s="91"/>
      <c r="J51" s="91"/>
      <c r="K51" s="92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2.16</v>
      </c>
      <c r="H52" s="23">
        <f>H53+H54+H57+H60</f>
        <v>2.16</v>
      </c>
      <c r="I52" s="23">
        <f>I53+I54+I57+I60</f>
        <v>0</v>
      </c>
      <c r="J52" s="23">
        <f>J53+J54+J57+J60</f>
        <v>0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2.16</v>
      </c>
      <c r="H60" s="23">
        <f>SUM(H61:H63)</f>
        <v>2.16</v>
      </c>
      <c r="I60" s="23">
        <f>SUM(I61:I63)</f>
        <v>0</v>
      </c>
      <c r="J60" s="23">
        <f>SUM(J61:J63)</f>
        <v>0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2.16</v>
      </c>
      <c r="H62" s="52">
        <v>2.16</v>
      </c>
      <c r="I62" s="52">
        <v>0</v>
      </c>
      <c r="J62" s="52"/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4.0540000000000003</v>
      </c>
      <c r="H64" s="23">
        <f>H66+H67+H68</f>
        <v>0</v>
      </c>
      <c r="I64" s="23">
        <f>I65+I67+I68</f>
        <v>0</v>
      </c>
      <c r="J64" s="23">
        <f>J65+J66+J68</f>
        <v>2.16</v>
      </c>
      <c r="K64" s="23">
        <f>K65+K66+K67</f>
        <v>1.8940000000000001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2.16</v>
      </c>
      <c r="H65" s="45"/>
      <c r="I65" s="27"/>
      <c r="J65" s="27">
        <f>H62</f>
        <v>2.16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1.8940000000000001</v>
      </c>
      <c r="H67" s="27"/>
      <c r="I67" s="27"/>
      <c r="J67" s="45"/>
      <c r="K67" s="27">
        <f>K73+K83</f>
        <v>1.8940000000000001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2.0209999999999999</v>
      </c>
      <c r="H70" s="23">
        <f>H71+H73+H76+H79</f>
        <v>0</v>
      </c>
      <c r="I70" s="23">
        <f>I71+I73+I76+I79</f>
        <v>0</v>
      </c>
      <c r="J70" s="23">
        <f>J71+J73+J76+J79</f>
        <v>0.26600000000000001</v>
      </c>
      <c r="K70" s="23">
        <f>K71+K73+K76+K79</f>
        <v>1.7549999999999999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2.0209999999999999</v>
      </c>
      <c r="H73" s="27">
        <v>0</v>
      </c>
      <c r="I73" s="27">
        <v>0</v>
      </c>
      <c r="J73" s="27">
        <v>0.26600000000000001</v>
      </c>
      <c r="K73" s="27">
        <v>1.7549999999999999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4.0540000000000003</v>
      </c>
      <c r="H80" s="27">
        <f>H62</f>
        <v>2.16</v>
      </c>
      <c r="I80" s="27"/>
      <c r="J80" s="27">
        <f>K67</f>
        <v>1.8940000000000001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0.13900000000000023</v>
      </c>
      <c r="H83" s="27"/>
      <c r="I83" s="27"/>
      <c r="J83" s="27"/>
      <c r="K83" s="27">
        <f>G62-G73</f>
        <v>0.13900000000000023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0.13919999999999999</v>
      </c>
      <c r="H85" s="27"/>
      <c r="I85" s="27"/>
      <c r="J85" s="27"/>
      <c r="K85" s="27">
        <v>0.13919999999999999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-1.9999999999975593E-4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-1.9999999999975593E-4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90" t="s">
        <v>170</v>
      </c>
      <c r="E88" s="91"/>
      <c r="F88" s="91"/>
      <c r="G88" s="91"/>
      <c r="H88" s="91"/>
      <c r="I88" s="91"/>
      <c r="J88" s="91"/>
      <c r="K88" s="92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2.0209999999999999</v>
      </c>
      <c r="H89" s="27"/>
      <c r="I89" s="27"/>
      <c r="J89" s="42">
        <f>J73</f>
        <v>0.26600000000000001</v>
      </c>
      <c r="K89" s="42">
        <f>K73</f>
        <v>1.7549999999999999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90" t="s">
        <v>180</v>
      </c>
      <c r="E92" s="91"/>
      <c r="F92" s="91"/>
      <c r="G92" s="91"/>
      <c r="H92" s="91"/>
      <c r="I92" s="91"/>
      <c r="J92" s="91"/>
      <c r="K92" s="92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1178.335</v>
      </c>
      <c r="H120" s="57">
        <f>SUM(H121:H122)</f>
        <v>0</v>
      </c>
      <c r="I120" s="57">
        <f>SUM(I121:I122)</f>
        <v>0</v>
      </c>
      <c r="J120" s="57">
        <f>SUM(J121:J122)</f>
        <v>154.94999999999999</v>
      </c>
      <c r="K120" s="57">
        <f>SUM(K121:K122)</f>
        <v>1023.385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1178.335</v>
      </c>
      <c r="H121" s="56"/>
      <c r="I121" s="56"/>
      <c r="J121" s="56">
        <f>J36</f>
        <v>154.94999999999999</v>
      </c>
      <c r="K121" s="56">
        <f>K36</f>
        <v>1023.385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90" t="s">
        <v>268</v>
      </c>
      <c r="E125" s="91"/>
      <c r="F125" s="91"/>
      <c r="G125" s="91"/>
      <c r="H125" s="91"/>
      <c r="I125" s="91"/>
      <c r="J125" s="91"/>
      <c r="K125" s="92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1781.6425200000001</v>
      </c>
      <c r="H142" s="64">
        <f>SUM( H143:H144)</f>
        <v>0</v>
      </c>
      <c r="I142" s="64">
        <f>SUM( I143:I144)</f>
        <v>0</v>
      </c>
      <c r="J142" s="64">
        <f>SUM( J143:J144)</f>
        <v>234.28439999999998</v>
      </c>
      <c r="K142" s="64">
        <f>SUM( K143:K144)</f>
        <v>1547.3581200000001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1781.6425200000001</v>
      </c>
      <c r="H143" s="63"/>
      <c r="I143" s="63"/>
      <c r="J143" s="65">
        <f>J121*1.512</f>
        <v>234.28439999999998</v>
      </c>
      <c r="K143" s="65">
        <f>K121*1.512</f>
        <v>1547.3581200000001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83" t="str">
        <f>IF([14]Титульный!G45="","",[14]Титульный!G45)</f>
        <v>Коммерческий директор</v>
      </c>
      <c r="G148" s="83"/>
      <c r="H148" s="70"/>
      <c r="I148" s="83" t="str">
        <f>IF([15]Титульный!G44="","",[15]Титульный!G44)</f>
        <v>Байков Алексей Александрович</v>
      </c>
      <c r="J148" s="83"/>
      <c r="K148" s="83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93" t="s">
        <v>322</v>
      </c>
      <c r="G149" s="93"/>
      <c r="H149" s="72"/>
      <c r="I149" s="93" t="s">
        <v>323</v>
      </c>
      <c r="J149" s="93"/>
      <c r="K149" s="93"/>
      <c r="L149" s="72"/>
      <c r="M149" s="93" t="s">
        <v>324</v>
      </c>
      <c r="N149" s="93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83" t="str">
        <f>IF([14]Титульный!G46="","",[14]Титульный!G46)</f>
        <v>(495) 637 3220</v>
      </c>
      <c r="G151" s="83"/>
      <c r="H151" s="83"/>
      <c r="I151" s="24"/>
      <c r="J151" s="73" t="s">
        <v>327</v>
      </c>
      <c r="K151" s="78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94" t="s">
        <v>329</v>
      </c>
      <c r="G152" s="94"/>
      <c r="H152" s="94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9:G149"/>
    <mergeCell ref="I149:K149"/>
    <mergeCell ref="M149:N149"/>
    <mergeCell ref="F151:H151"/>
    <mergeCell ref="F152:H152"/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="60" zoomScaleNormal="100" workbookViewId="0">
      <selection activeCell="G9" sqref="G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t="11.25" hidden="1" customHeight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t="11.25" hidden="1" customHeight="1" x14ac:dyDescent="0.25"/>
    <row r="3" spans="1:77" ht="11.25" hidden="1" customHeight="1" x14ac:dyDescent="0.25"/>
    <row r="4" spans="1:77" ht="11.25" hidden="1" customHeight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t="11.25" hidden="1" customHeight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t="11.25" hidden="1" customHeight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4" t="s">
        <v>11</v>
      </c>
      <c r="E8" s="84"/>
      <c r="F8" s="9"/>
      <c r="G8" s="9" t="s">
        <v>341</v>
      </c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5" t="s">
        <v>13</v>
      </c>
      <c r="E11" s="87" t="s">
        <v>14</v>
      </c>
      <c r="F11" s="87" t="s">
        <v>15</v>
      </c>
      <c r="G11" s="87" t="s">
        <v>16</v>
      </c>
      <c r="H11" s="87" t="s">
        <v>17</v>
      </c>
      <c r="I11" s="87"/>
      <c r="J11" s="87"/>
      <c r="K11" s="89"/>
      <c r="L11" s="13"/>
    </row>
    <row r="12" spans="1:77" ht="15" customHeight="1" x14ac:dyDescent="0.25">
      <c r="C12" s="6"/>
      <c r="D12" s="86"/>
      <c r="E12" s="88"/>
      <c r="F12" s="88"/>
      <c r="G12" s="88"/>
      <c r="H12" s="79" t="s">
        <v>18</v>
      </c>
      <c r="I12" s="79" t="s">
        <v>19</v>
      </c>
      <c r="J12" s="79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90" t="s">
        <v>22</v>
      </c>
      <c r="E14" s="91"/>
      <c r="F14" s="91"/>
      <c r="G14" s="91"/>
      <c r="H14" s="91"/>
      <c r="I14" s="91"/>
      <c r="J14" s="91"/>
      <c r="K14" s="92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1292.9580000000001</v>
      </c>
      <c r="H15" s="23">
        <f>H16+H17+H20+H23</f>
        <v>1304.318</v>
      </c>
      <c r="I15" s="23">
        <f>I16+I17+I20+I23</f>
        <v>0</v>
      </c>
      <c r="J15" s="23">
        <f>J16+J17+J20+J23</f>
        <v>-11.36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1292.9580000000001</v>
      </c>
      <c r="H23" s="23">
        <f>SUM(H24:H26)</f>
        <v>1304.318</v>
      </c>
      <c r="I23" s="23">
        <f>SUM(I24:I26)</f>
        <v>0</v>
      </c>
      <c r="J23" s="23">
        <f>SUM(J24:J26)</f>
        <v>-11.36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1292.9580000000001</v>
      </c>
      <c r="H25" s="42">
        <v>1304.318</v>
      </c>
      <c r="I25" s="42">
        <v>0</v>
      </c>
      <c r="J25" s="82">
        <v>-11.36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2430.7539999999999</v>
      </c>
      <c r="H27" s="23">
        <f>H29+H30+H31</f>
        <v>0</v>
      </c>
      <c r="I27" s="23">
        <f>I28+I30+I31</f>
        <v>0</v>
      </c>
      <c r="J27" s="23">
        <f>J28+J29+J31</f>
        <v>1304.318</v>
      </c>
      <c r="K27" s="23">
        <f>K28+K29+K30</f>
        <v>1126.4360000000001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1304.318</v>
      </c>
      <c r="H28" s="45"/>
      <c r="I28" s="27"/>
      <c r="J28" s="27">
        <f>H25</f>
        <v>1304.318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1126.4360000000001</v>
      </c>
      <c r="H30" s="27"/>
      <c r="I30" s="27"/>
      <c r="J30" s="45"/>
      <c r="K30" s="27">
        <f>H25+J25-J36-J46</f>
        <v>1126.4360000000001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1171.7529999999999</v>
      </c>
      <c r="H33" s="23">
        <f>H34+H36+H39+H42</f>
        <v>0</v>
      </c>
      <c r="I33" s="23">
        <f>I34+I36+I39+I42</f>
        <v>0</v>
      </c>
      <c r="J33" s="23">
        <f>J34+J36+J39+J42</f>
        <v>166.52199999999999</v>
      </c>
      <c r="K33" s="23">
        <f>K34+K36+K39+K42</f>
        <v>1005.231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1171.7529999999999</v>
      </c>
      <c r="H36" s="27">
        <v>0</v>
      </c>
      <c r="I36" s="27">
        <v>0</v>
      </c>
      <c r="J36" s="27">
        <v>166.52199999999999</v>
      </c>
      <c r="K36" s="27">
        <v>1005.231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2430.7539999999999</v>
      </c>
      <c r="H43" s="27">
        <f>J28</f>
        <v>1304.318</v>
      </c>
      <c r="I43" s="27"/>
      <c r="J43" s="27">
        <f>K30</f>
        <v>1126.4360000000001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121.20500000000015</v>
      </c>
      <c r="H46" s="27"/>
      <c r="I46" s="27"/>
      <c r="J46" s="27"/>
      <c r="K46" s="27">
        <f>G25-G36</f>
        <v>121.20500000000015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/>
      <c r="K47" s="27"/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81.5</v>
      </c>
      <c r="H48" s="27"/>
      <c r="I48" s="27"/>
      <c r="J48" s="27"/>
      <c r="K48" s="27">
        <f>0.0815*1000</f>
        <v>81.5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39.705000000000155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39.705000000000155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90" t="s">
        <v>109</v>
      </c>
      <c r="E51" s="91"/>
      <c r="F51" s="91"/>
      <c r="G51" s="91"/>
      <c r="H51" s="91"/>
      <c r="I51" s="91"/>
      <c r="J51" s="91"/>
      <c r="K51" s="92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2.1669999999999998</v>
      </c>
      <c r="H52" s="23">
        <f>H53+H54+H57+H60</f>
        <v>2.1669999999999998</v>
      </c>
      <c r="I52" s="23">
        <f>I53+I54+I57+I60</f>
        <v>0</v>
      </c>
      <c r="J52" s="23">
        <f>J53+J54+J57+J60</f>
        <v>0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2.1669999999999998</v>
      </c>
      <c r="H60" s="23">
        <f>SUM(H61:H63)</f>
        <v>2.1669999999999998</v>
      </c>
      <c r="I60" s="23">
        <f>SUM(I61:I63)</f>
        <v>0</v>
      </c>
      <c r="J60" s="23">
        <f>SUM(J61:J63)</f>
        <v>0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2.1669999999999998</v>
      </c>
      <c r="H62" s="52">
        <v>2.1669999999999998</v>
      </c>
      <c r="I62" s="52">
        <v>0</v>
      </c>
      <c r="J62" s="52"/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4.0569999999999995</v>
      </c>
      <c r="H64" s="23">
        <f>H66+H67+H68</f>
        <v>0</v>
      </c>
      <c r="I64" s="23">
        <f>I65+I67+I68</f>
        <v>0</v>
      </c>
      <c r="J64" s="23">
        <f>J65+J66+J68</f>
        <v>2.1669999999999998</v>
      </c>
      <c r="K64" s="23">
        <f>K65+K66+K67</f>
        <v>1.89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2.1669999999999998</v>
      </c>
      <c r="H65" s="45"/>
      <c r="I65" s="27"/>
      <c r="J65" s="27">
        <f>H62</f>
        <v>2.1669999999999998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1.89</v>
      </c>
      <c r="H67" s="27"/>
      <c r="I67" s="27"/>
      <c r="J67" s="45"/>
      <c r="K67" s="27">
        <f>K73+K83</f>
        <v>1.89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2.0009999999999999</v>
      </c>
      <c r="H70" s="23">
        <f>H71+H73+H76+H79</f>
        <v>0</v>
      </c>
      <c r="I70" s="23">
        <f>I71+I73+I76+I79</f>
        <v>0</v>
      </c>
      <c r="J70" s="23">
        <f>J71+J73+J76+J79</f>
        <v>0.27700000000000002</v>
      </c>
      <c r="K70" s="23">
        <f>K71+K73+K76+K79</f>
        <v>1.724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2.0009999999999999</v>
      </c>
      <c r="H73" s="27">
        <v>0</v>
      </c>
      <c r="I73" s="27">
        <v>0</v>
      </c>
      <c r="J73" s="27">
        <v>0.27700000000000002</v>
      </c>
      <c r="K73" s="27">
        <v>1.724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4.0569999999999995</v>
      </c>
      <c r="H80" s="27">
        <f>H62</f>
        <v>2.1669999999999998</v>
      </c>
      <c r="I80" s="27"/>
      <c r="J80" s="27">
        <f>K67</f>
        <v>1.89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0.16599999999999993</v>
      </c>
      <c r="H83" s="27"/>
      <c r="I83" s="27"/>
      <c r="J83" s="27"/>
      <c r="K83" s="27">
        <f>G62-G73</f>
        <v>0.16599999999999993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0.19059999999999999</v>
      </c>
      <c r="H85" s="27"/>
      <c r="I85" s="27"/>
      <c r="J85" s="27"/>
      <c r="K85" s="27">
        <v>0.19059999999999999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-2.4600000000000066E-2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-2.4600000000000066E-2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90" t="s">
        <v>170</v>
      </c>
      <c r="E88" s="91"/>
      <c r="F88" s="91"/>
      <c r="G88" s="91"/>
      <c r="H88" s="91"/>
      <c r="I88" s="91"/>
      <c r="J88" s="91"/>
      <c r="K88" s="92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2.0009999999999999</v>
      </c>
      <c r="H89" s="27"/>
      <c r="I89" s="27"/>
      <c r="J89" s="42">
        <f>J73</f>
        <v>0.27700000000000002</v>
      </c>
      <c r="K89" s="42">
        <f>K73</f>
        <v>1.724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90" t="s">
        <v>180</v>
      </c>
      <c r="E92" s="91"/>
      <c r="F92" s="91"/>
      <c r="G92" s="91"/>
      <c r="H92" s="91"/>
      <c r="I92" s="91"/>
      <c r="J92" s="91"/>
      <c r="K92" s="92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1171.7529999999999</v>
      </c>
      <c r="H120" s="57">
        <f>SUM(H121:H122)</f>
        <v>0</v>
      </c>
      <c r="I120" s="57">
        <f>SUM(I121:I122)</f>
        <v>0</v>
      </c>
      <c r="J120" s="57">
        <f>SUM(J121:J122)</f>
        <v>166.52199999999999</v>
      </c>
      <c r="K120" s="57">
        <f>SUM(K121:K122)</f>
        <v>1005.231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1171.7529999999999</v>
      </c>
      <c r="H121" s="56"/>
      <c r="I121" s="56"/>
      <c r="J121" s="56">
        <f>J36</f>
        <v>166.52199999999999</v>
      </c>
      <c r="K121" s="56">
        <f>K36</f>
        <v>1005.231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90" t="s">
        <v>268</v>
      </c>
      <c r="E125" s="91"/>
      <c r="F125" s="91"/>
      <c r="G125" s="91"/>
      <c r="H125" s="91"/>
      <c r="I125" s="91"/>
      <c r="J125" s="91"/>
      <c r="K125" s="92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1771.6905360000001</v>
      </c>
      <c r="H142" s="64">
        <f>SUM( H143:H144)</f>
        <v>0</v>
      </c>
      <c r="I142" s="64">
        <f>SUM( I143:I144)</f>
        <v>0</v>
      </c>
      <c r="J142" s="64">
        <f>SUM( J143:J144)</f>
        <v>251.78126399999999</v>
      </c>
      <c r="K142" s="64">
        <f>SUM( K143:K144)</f>
        <v>1519.9092720000001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1771.6905360000001</v>
      </c>
      <c r="H143" s="63"/>
      <c r="I143" s="63"/>
      <c r="J143" s="65">
        <f>J121*1.512</f>
        <v>251.78126399999999</v>
      </c>
      <c r="K143" s="65">
        <f>K121*1.512</f>
        <v>1519.9092720000001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83" t="str">
        <f>IF([16]Титульный!G45="","",[16]Титульный!G45)</f>
        <v>Коммерческий директор</v>
      </c>
      <c r="G148" s="83"/>
      <c r="H148" s="70"/>
      <c r="I148" s="83" t="str">
        <f>IF([17]Титульный!G44="","",[17]Титульный!G44)</f>
        <v>Байков Алексей Александрович</v>
      </c>
      <c r="J148" s="83"/>
      <c r="K148" s="83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93" t="s">
        <v>322</v>
      </c>
      <c r="G149" s="93"/>
      <c r="H149" s="72"/>
      <c r="I149" s="93" t="s">
        <v>323</v>
      </c>
      <c r="J149" s="93"/>
      <c r="K149" s="93"/>
      <c r="L149" s="72"/>
      <c r="M149" s="93" t="s">
        <v>324</v>
      </c>
      <c r="N149" s="93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83" t="str">
        <f>IF([16]Титульный!G46="","",[16]Титульный!G46)</f>
        <v>(495) 637 3220</v>
      </c>
      <c r="G151" s="83"/>
      <c r="H151" s="83"/>
      <c r="I151" s="24"/>
      <c r="J151" s="73" t="s">
        <v>327</v>
      </c>
      <c r="K151" s="78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94" t="s">
        <v>329</v>
      </c>
      <c r="G152" s="94"/>
      <c r="H152" s="94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9:G149"/>
    <mergeCell ref="I149:K149"/>
    <mergeCell ref="M149:N149"/>
    <mergeCell ref="F151:H151"/>
    <mergeCell ref="F152:H152"/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="60" zoomScaleNormal="100" workbookViewId="0">
      <selection activeCell="G9" sqref="G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t="11.25" hidden="1" customHeight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t="11.25" hidden="1" customHeight="1" x14ac:dyDescent="0.25"/>
    <row r="3" spans="1:77" ht="11.25" hidden="1" customHeight="1" x14ac:dyDescent="0.25"/>
    <row r="4" spans="1:77" ht="11.25" hidden="1" customHeight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t="11.25" hidden="1" customHeight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t="11.25" hidden="1" customHeight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4" t="s">
        <v>11</v>
      </c>
      <c r="E8" s="84"/>
      <c r="F8" s="9"/>
      <c r="G8" s="9" t="s">
        <v>342</v>
      </c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5" t="s">
        <v>13</v>
      </c>
      <c r="E11" s="87" t="s">
        <v>14</v>
      </c>
      <c r="F11" s="87" t="s">
        <v>15</v>
      </c>
      <c r="G11" s="87" t="s">
        <v>16</v>
      </c>
      <c r="H11" s="87" t="s">
        <v>17</v>
      </c>
      <c r="I11" s="87"/>
      <c r="J11" s="87"/>
      <c r="K11" s="89"/>
      <c r="L11" s="13"/>
    </row>
    <row r="12" spans="1:77" ht="15" customHeight="1" x14ac:dyDescent="0.25">
      <c r="C12" s="6"/>
      <c r="D12" s="86"/>
      <c r="E12" s="88"/>
      <c r="F12" s="88"/>
      <c r="G12" s="88"/>
      <c r="H12" s="79" t="s">
        <v>18</v>
      </c>
      <c r="I12" s="79" t="s">
        <v>19</v>
      </c>
      <c r="J12" s="79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90" t="s">
        <v>22</v>
      </c>
      <c r="E14" s="91"/>
      <c r="F14" s="91"/>
      <c r="G14" s="91"/>
      <c r="H14" s="91"/>
      <c r="I14" s="91"/>
      <c r="J14" s="91"/>
      <c r="K14" s="92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1513.27</v>
      </c>
      <c r="H15" s="23">
        <f>H16+H17+H20+H23</f>
        <v>1513.27</v>
      </c>
      <c r="I15" s="23">
        <f>I16+I17+I20+I23</f>
        <v>0</v>
      </c>
      <c r="J15" s="23">
        <f>J16+J17+J20+J23</f>
        <v>0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1513.27</v>
      </c>
      <c r="H23" s="23">
        <f>SUM(H24:H26)</f>
        <v>1513.27</v>
      </c>
      <c r="I23" s="23">
        <f>SUM(I24:I26)</f>
        <v>0</v>
      </c>
      <c r="J23" s="23">
        <f>SUM(J24:J26)</f>
        <v>0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1513.27</v>
      </c>
      <c r="H25" s="42">
        <v>1513.27</v>
      </c>
      <c r="I25" s="42"/>
      <c r="J25" s="42"/>
      <c r="K25" s="42"/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2842.8719999999998</v>
      </c>
      <c r="H27" s="23">
        <f>H29+H30+H31</f>
        <v>0</v>
      </c>
      <c r="I27" s="23">
        <f>I28+I30+I31</f>
        <v>0</v>
      </c>
      <c r="J27" s="23">
        <f>J28+J29+J31</f>
        <v>1513.27</v>
      </c>
      <c r="K27" s="23">
        <f>K28+K29+K30</f>
        <v>1329.6019999999999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1513.27</v>
      </c>
      <c r="H28" s="45"/>
      <c r="I28" s="27"/>
      <c r="J28" s="27">
        <f>H25</f>
        <v>1513.27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1329.6019999999999</v>
      </c>
      <c r="H30" s="27"/>
      <c r="I30" s="27"/>
      <c r="J30" s="45"/>
      <c r="K30" s="27">
        <f>H25+J25-J36-J46</f>
        <v>1329.6019999999999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1109.164</v>
      </c>
      <c r="H33" s="23">
        <f>H34+H36+H39+H42</f>
        <v>0</v>
      </c>
      <c r="I33" s="23">
        <f>I34+I36+I39+I42</f>
        <v>0</v>
      </c>
      <c r="J33" s="23">
        <f>J34+J36+J39+J42</f>
        <v>183.66800000000001</v>
      </c>
      <c r="K33" s="23">
        <f>K34+K36+K39+K42</f>
        <v>925.49599999999998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1109.164</v>
      </c>
      <c r="H36" s="27">
        <v>0</v>
      </c>
      <c r="I36" s="27">
        <v>0</v>
      </c>
      <c r="J36" s="27">
        <v>183.66800000000001</v>
      </c>
      <c r="K36" s="27">
        <v>925.49599999999998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2842.8719999999998</v>
      </c>
      <c r="H43" s="27">
        <f>J28</f>
        <v>1513.27</v>
      </c>
      <c r="I43" s="27"/>
      <c r="J43" s="27">
        <f>K30</f>
        <v>1329.6019999999999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404.10599999999999</v>
      </c>
      <c r="H46" s="27"/>
      <c r="I46" s="27"/>
      <c r="J46" s="27"/>
      <c r="K46" s="27">
        <f>G25-G36</f>
        <v>404.10599999999999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/>
      <c r="K47" s="27"/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102.5</v>
      </c>
      <c r="H48" s="27"/>
      <c r="I48" s="27"/>
      <c r="J48" s="27"/>
      <c r="K48" s="27">
        <f>0.1025*1000</f>
        <v>102.5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301.60599999999999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301.60599999999999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90" t="s">
        <v>109</v>
      </c>
      <c r="E51" s="91"/>
      <c r="F51" s="91"/>
      <c r="G51" s="91"/>
      <c r="H51" s="91"/>
      <c r="I51" s="91"/>
      <c r="J51" s="91"/>
      <c r="K51" s="92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2.1823999999999999</v>
      </c>
      <c r="H52" s="23">
        <f>H53+H54+H57+H60</f>
        <v>2.1823999999999999</v>
      </c>
      <c r="I52" s="23">
        <f>I53+I54+I57+I60</f>
        <v>0</v>
      </c>
      <c r="J52" s="23">
        <f>J53+J54+J57+J60</f>
        <v>0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2.1823999999999999</v>
      </c>
      <c r="H60" s="23">
        <f>SUM(H61:H63)</f>
        <v>2.1823999999999999</v>
      </c>
      <c r="I60" s="23">
        <f>SUM(I61:I63)</f>
        <v>0</v>
      </c>
      <c r="J60" s="23">
        <f>SUM(J61:J63)</f>
        <v>0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2.1823999999999999</v>
      </c>
      <c r="H62" s="52">
        <v>2.1823999999999999</v>
      </c>
      <c r="I62" s="52"/>
      <c r="J62" s="52"/>
      <c r="K62" s="53"/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4.0497999999999994</v>
      </c>
      <c r="H64" s="23">
        <f>H66+H67+H68</f>
        <v>0</v>
      </c>
      <c r="I64" s="23">
        <f>I65+I67+I68</f>
        <v>0</v>
      </c>
      <c r="J64" s="23">
        <f>J65+J66+J68</f>
        <v>2.1823999999999999</v>
      </c>
      <c r="K64" s="23">
        <f>K65+K66+K67</f>
        <v>1.8673999999999999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2.1823999999999999</v>
      </c>
      <c r="H65" s="45"/>
      <c r="I65" s="27"/>
      <c r="J65" s="27">
        <f>H62</f>
        <v>2.1823999999999999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1.8673999999999999</v>
      </c>
      <c r="H67" s="27"/>
      <c r="I67" s="27"/>
      <c r="J67" s="45"/>
      <c r="K67" s="27">
        <f>K73+K83</f>
        <v>1.8673999999999999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1.9019999999999999</v>
      </c>
      <c r="H70" s="23">
        <f>H71+H73+H76+H79</f>
        <v>0</v>
      </c>
      <c r="I70" s="23">
        <f>I71+I73+I76+I79</f>
        <v>0</v>
      </c>
      <c r="J70" s="23">
        <f>J71+J73+J76+J79</f>
        <v>0.315</v>
      </c>
      <c r="K70" s="23">
        <f>K71+K73+K76+K79</f>
        <v>1.587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1.9019999999999999</v>
      </c>
      <c r="H73" s="27"/>
      <c r="I73" s="27"/>
      <c r="J73" s="27">
        <v>0.315</v>
      </c>
      <c r="K73" s="27">
        <v>1.587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4.0497999999999994</v>
      </c>
      <c r="H80" s="27">
        <f>H62</f>
        <v>2.1823999999999999</v>
      </c>
      <c r="I80" s="27"/>
      <c r="J80" s="27">
        <f>K67</f>
        <v>1.8673999999999999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0.28039999999999998</v>
      </c>
      <c r="H83" s="27"/>
      <c r="I83" s="27"/>
      <c r="J83" s="27"/>
      <c r="K83" s="27">
        <f>G62-G73</f>
        <v>0.28039999999999998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0.21210000000000001</v>
      </c>
      <c r="H85" s="27"/>
      <c r="I85" s="27"/>
      <c r="J85" s="27"/>
      <c r="K85" s="27">
        <v>0.21210000000000001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6.8299999999999972E-2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6.8299999999999972E-2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90" t="s">
        <v>170</v>
      </c>
      <c r="E88" s="91"/>
      <c r="F88" s="91"/>
      <c r="G88" s="91"/>
      <c r="H88" s="91"/>
      <c r="I88" s="91"/>
      <c r="J88" s="91"/>
      <c r="K88" s="92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1.9019999999999999</v>
      </c>
      <c r="H89" s="27"/>
      <c r="I89" s="27"/>
      <c r="J89" s="42">
        <f>J73</f>
        <v>0.315</v>
      </c>
      <c r="K89" s="42">
        <f>K73</f>
        <v>1.587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90" t="s">
        <v>180</v>
      </c>
      <c r="E92" s="91"/>
      <c r="F92" s="91"/>
      <c r="G92" s="91"/>
      <c r="H92" s="91"/>
      <c r="I92" s="91"/>
      <c r="J92" s="91"/>
      <c r="K92" s="92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1109.164</v>
      </c>
      <c r="H120" s="57">
        <f>SUM(H121:H122)</f>
        <v>0</v>
      </c>
      <c r="I120" s="57">
        <f>SUM(I121:I122)</f>
        <v>0</v>
      </c>
      <c r="J120" s="57">
        <f>SUM(J121:J122)</f>
        <v>183.66800000000001</v>
      </c>
      <c r="K120" s="57">
        <f>SUM(K121:K122)</f>
        <v>925.49599999999998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1109.164</v>
      </c>
      <c r="H121" s="56"/>
      <c r="I121" s="56"/>
      <c r="J121" s="56">
        <f>J36</f>
        <v>183.66800000000001</v>
      </c>
      <c r="K121" s="56">
        <f>K36</f>
        <v>925.49599999999998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90" t="s">
        <v>268</v>
      </c>
      <c r="E125" s="91"/>
      <c r="F125" s="91"/>
      <c r="G125" s="91"/>
      <c r="H125" s="91"/>
      <c r="I125" s="91"/>
      <c r="J125" s="91"/>
      <c r="K125" s="92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1677.0559680000001</v>
      </c>
      <c r="H142" s="64">
        <f>SUM( H143:H144)</f>
        <v>0</v>
      </c>
      <c r="I142" s="64">
        <f>SUM( I143:I144)</f>
        <v>0</v>
      </c>
      <c r="J142" s="64">
        <f>SUM( J143:J144)</f>
        <v>277.70601600000003</v>
      </c>
      <c r="K142" s="64">
        <f>SUM( K143:K144)</f>
        <v>1399.349952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1677.0559680000001</v>
      </c>
      <c r="H143" s="63"/>
      <c r="I143" s="63"/>
      <c r="J143" s="65">
        <f>J121*1.512</f>
        <v>277.70601600000003</v>
      </c>
      <c r="K143" s="65">
        <f>K121*1.512</f>
        <v>1399.349952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83" t="str">
        <f>IF([18]Титульный!G45="","",[18]Титульный!G45)</f>
        <v>Коммерческий директор</v>
      </c>
      <c r="G148" s="83"/>
      <c r="H148" s="70"/>
      <c r="I148" s="83" t="str">
        <f>IF([19]Титульный!G44="","",[19]Титульный!G44)</f>
        <v>Байков Алексей Александрович</v>
      </c>
      <c r="J148" s="83"/>
      <c r="K148" s="83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93" t="s">
        <v>322</v>
      </c>
      <c r="G149" s="93"/>
      <c r="H149" s="72"/>
      <c r="I149" s="93" t="s">
        <v>323</v>
      </c>
      <c r="J149" s="93"/>
      <c r="K149" s="93"/>
      <c r="L149" s="72"/>
      <c r="M149" s="93" t="s">
        <v>324</v>
      </c>
      <c r="N149" s="93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83" t="str">
        <f>IF([18]Титульный!G46="","",[18]Титульный!G46)</f>
        <v>(495) 637 3220</v>
      </c>
      <c r="G151" s="83"/>
      <c r="H151" s="83"/>
      <c r="I151" s="24"/>
      <c r="J151" s="73" t="s">
        <v>327</v>
      </c>
      <c r="K151" s="78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94" t="s">
        <v>329</v>
      </c>
      <c r="G152" s="94"/>
      <c r="H152" s="94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9:G149"/>
    <mergeCell ref="I149:K149"/>
    <mergeCell ref="M149:N149"/>
    <mergeCell ref="F151:H151"/>
    <mergeCell ref="F152:H152"/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="60" zoomScaleNormal="100" workbookViewId="0">
      <selection activeCell="G9" sqref="G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t="11.25" hidden="1" customHeight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t="11.25" hidden="1" customHeight="1" x14ac:dyDescent="0.25"/>
    <row r="3" spans="1:77" ht="11.25" hidden="1" customHeight="1" x14ac:dyDescent="0.25"/>
    <row r="4" spans="1:77" ht="11.25" hidden="1" customHeight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t="11.25" hidden="1" customHeight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t="11.25" hidden="1" customHeight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4" t="s">
        <v>11</v>
      </c>
      <c r="E8" s="84"/>
      <c r="F8" s="9"/>
      <c r="G8" s="9" t="s">
        <v>343</v>
      </c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5" t="s">
        <v>13</v>
      </c>
      <c r="E11" s="87" t="s">
        <v>14</v>
      </c>
      <c r="F11" s="87" t="s">
        <v>15</v>
      </c>
      <c r="G11" s="87" t="s">
        <v>16</v>
      </c>
      <c r="H11" s="87" t="s">
        <v>17</v>
      </c>
      <c r="I11" s="87"/>
      <c r="J11" s="87"/>
      <c r="K11" s="89"/>
      <c r="L11" s="13"/>
    </row>
    <row r="12" spans="1:77" ht="15" customHeight="1" x14ac:dyDescent="0.25">
      <c r="C12" s="6"/>
      <c r="D12" s="86"/>
      <c r="E12" s="88"/>
      <c r="F12" s="88"/>
      <c r="G12" s="88"/>
      <c r="H12" s="79" t="s">
        <v>18</v>
      </c>
      <c r="I12" s="79" t="s">
        <v>19</v>
      </c>
      <c r="J12" s="79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90" t="s">
        <v>22</v>
      </c>
      <c r="E14" s="91"/>
      <c r="F14" s="91"/>
      <c r="G14" s="91"/>
      <c r="H14" s="91"/>
      <c r="I14" s="91"/>
      <c r="J14" s="91"/>
      <c r="K14" s="92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1699.5350000000001</v>
      </c>
      <c r="H15" s="23">
        <f>H16+H17+H20+H23</f>
        <v>1699.5350000000001</v>
      </c>
      <c r="I15" s="23">
        <f>I16+I17+I20+I23</f>
        <v>0</v>
      </c>
      <c r="J15" s="23">
        <f>J16+J17+J20+J23</f>
        <v>0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1699.5350000000001</v>
      </c>
      <c r="H23" s="23">
        <f>SUM(H24:H26)</f>
        <v>1699.5350000000001</v>
      </c>
      <c r="I23" s="23">
        <f>SUM(I24:I26)</f>
        <v>0</v>
      </c>
      <c r="J23" s="23">
        <f>SUM(J24:J26)</f>
        <v>0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1699.5350000000001</v>
      </c>
      <c r="H25" s="42">
        <v>1699.5350000000001</v>
      </c>
      <c r="I25" s="42"/>
      <c r="J25" s="42"/>
      <c r="K25" s="42"/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3171.3490000000002</v>
      </c>
      <c r="H27" s="23">
        <f>H29+H30+H31</f>
        <v>0</v>
      </c>
      <c r="I27" s="23">
        <f>I28+I30+I31</f>
        <v>0</v>
      </c>
      <c r="J27" s="23">
        <f>J28+J29+J31</f>
        <v>1699.5350000000001</v>
      </c>
      <c r="K27" s="23">
        <f>K28+K29+K30</f>
        <v>1471.8140000000001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1699.5350000000001</v>
      </c>
      <c r="H28" s="45"/>
      <c r="I28" s="27"/>
      <c r="J28" s="27">
        <f>H25</f>
        <v>1699.5350000000001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1471.8140000000001</v>
      </c>
      <c r="H30" s="27"/>
      <c r="I30" s="27"/>
      <c r="J30" s="45"/>
      <c r="K30" s="27">
        <f>H25+J25-J36-J46</f>
        <v>1471.8140000000001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1537.5309999999999</v>
      </c>
      <c r="H33" s="23">
        <f>H34+H36+H39+H42</f>
        <v>0</v>
      </c>
      <c r="I33" s="23">
        <f>I34+I36+I39+I42</f>
        <v>0</v>
      </c>
      <c r="J33" s="23">
        <f>J34+J36+J39+J42</f>
        <v>227.721</v>
      </c>
      <c r="K33" s="23">
        <f>K34+K36+K39+K42</f>
        <v>1309.81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1537.5309999999999</v>
      </c>
      <c r="H36" s="27">
        <v>0</v>
      </c>
      <c r="I36" s="27">
        <v>0</v>
      </c>
      <c r="J36" s="27">
        <v>227.721</v>
      </c>
      <c r="K36" s="27">
        <v>1309.81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3171.3490000000002</v>
      </c>
      <c r="H43" s="27">
        <f>J28</f>
        <v>1699.5350000000001</v>
      </c>
      <c r="I43" s="27"/>
      <c r="J43" s="27">
        <f>K30</f>
        <v>1471.8140000000001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162.00400000000013</v>
      </c>
      <c r="H46" s="27"/>
      <c r="I46" s="27"/>
      <c r="J46" s="27"/>
      <c r="K46" s="27">
        <f>G25-G36</f>
        <v>162.00400000000013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/>
      <c r="K47" s="27"/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137.6</v>
      </c>
      <c r="H48" s="27"/>
      <c r="I48" s="27"/>
      <c r="J48" s="27"/>
      <c r="K48" s="27">
        <f>0.1376*1000</f>
        <v>137.6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24.404000000000138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24.404000000000138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90" t="s">
        <v>109</v>
      </c>
      <c r="E51" s="91"/>
      <c r="F51" s="91"/>
      <c r="G51" s="91"/>
      <c r="H51" s="91"/>
      <c r="I51" s="91"/>
      <c r="J51" s="91"/>
      <c r="K51" s="92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2.9119999999999999</v>
      </c>
      <c r="H52" s="23">
        <f>H53+H54+H57+H60</f>
        <v>2.9119999999999999</v>
      </c>
      <c r="I52" s="23">
        <f>I53+I54+I57+I60</f>
        <v>0</v>
      </c>
      <c r="J52" s="23">
        <f>J53+J54+J57+J60</f>
        <v>0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2.9119999999999999</v>
      </c>
      <c r="H60" s="23">
        <f>SUM(H61:H63)</f>
        <v>2.9119999999999999</v>
      </c>
      <c r="I60" s="23">
        <f>SUM(I61:I63)</f>
        <v>0</v>
      </c>
      <c r="J60" s="23">
        <f>SUM(J61:J63)</f>
        <v>0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2.9119999999999999</v>
      </c>
      <c r="H62" s="52">
        <v>2.9119999999999999</v>
      </c>
      <c r="I62" s="52"/>
      <c r="J62" s="52"/>
      <c r="K62" s="53"/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5.4329999999999998</v>
      </c>
      <c r="H64" s="23">
        <f>H66+H67+H68</f>
        <v>0</v>
      </c>
      <c r="I64" s="23">
        <f>I65+I67+I68</f>
        <v>0</v>
      </c>
      <c r="J64" s="23">
        <f>J65+J66+J68</f>
        <v>2.9119999999999999</v>
      </c>
      <c r="K64" s="23">
        <f>K65+K66+K67</f>
        <v>2.5209999999999999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2.9119999999999999</v>
      </c>
      <c r="H65" s="45"/>
      <c r="I65" s="27"/>
      <c r="J65" s="27">
        <f>H62</f>
        <v>2.9119999999999999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2.5209999999999999</v>
      </c>
      <c r="H67" s="27"/>
      <c r="I67" s="27"/>
      <c r="J67" s="45"/>
      <c r="K67" s="27">
        <f>K73+K83</f>
        <v>2.5209999999999999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2.6379999999999999</v>
      </c>
      <c r="H70" s="23">
        <f>H71+H73+H76+H79</f>
        <v>0</v>
      </c>
      <c r="I70" s="23">
        <f>I71+I73+I76+I79</f>
        <v>0</v>
      </c>
      <c r="J70" s="23">
        <f>J71+J73+J76+J79</f>
        <v>0.39100000000000001</v>
      </c>
      <c r="K70" s="23">
        <f>K71+K73+K76+K79</f>
        <v>2.2469999999999999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2.6379999999999999</v>
      </c>
      <c r="H73" s="27"/>
      <c r="I73" s="27"/>
      <c r="J73" s="27">
        <v>0.39100000000000001</v>
      </c>
      <c r="K73" s="27">
        <v>2.2469999999999999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5.4329999999999998</v>
      </c>
      <c r="H80" s="27">
        <f>H62</f>
        <v>2.9119999999999999</v>
      </c>
      <c r="I80" s="27"/>
      <c r="J80" s="27">
        <f>K67</f>
        <v>2.5209999999999999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0.27400000000000002</v>
      </c>
      <c r="H83" s="27"/>
      <c r="I83" s="27"/>
      <c r="J83" s="27"/>
      <c r="K83" s="27">
        <f>G62-G73</f>
        <v>0.27400000000000002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0.23050000000000001</v>
      </c>
      <c r="H85" s="27"/>
      <c r="I85" s="27"/>
      <c r="J85" s="27"/>
      <c r="K85" s="27">
        <v>0.23050000000000001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4.3500000000000011E-2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4.3500000000000011E-2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90" t="s">
        <v>170</v>
      </c>
      <c r="E88" s="91"/>
      <c r="F88" s="91"/>
      <c r="G88" s="91"/>
      <c r="H88" s="91"/>
      <c r="I88" s="91"/>
      <c r="J88" s="91"/>
      <c r="K88" s="92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2.6379999999999999</v>
      </c>
      <c r="H89" s="27"/>
      <c r="I89" s="27"/>
      <c r="J89" s="42">
        <f>J73</f>
        <v>0.39100000000000001</v>
      </c>
      <c r="K89" s="42">
        <f>K73</f>
        <v>2.2469999999999999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90" t="s">
        <v>180</v>
      </c>
      <c r="E92" s="91"/>
      <c r="F92" s="91"/>
      <c r="G92" s="91"/>
      <c r="H92" s="91"/>
      <c r="I92" s="91"/>
      <c r="J92" s="91"/>
      <c r="K92" s="92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1537.5309999999999</v>
      </c>
      <c r="H120" s="57">
        <f>SUM(H121:H122)</f>
        <v>0</v>
      </c>
      <c r="I120" s="57">
        <f>SUM(I121:I122)</f>
        <v>0</v>
      </c>
      <c r="J120" s="57">
        <f>SUM(J121:J122)</f>
        <v>227.721</v>
      </c>
      <c r="K120" s="57">
        <f>SUM(K121:K122)</f>
        <v>1309.81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1537.5309999999999</v>
      </c>
      <c r="H121" s="56"/>
      <c r="I121" s="56"/>
      <c r="J121" s="56">
        <f>J36</f>
        <v>227.721</v>
      </c>
      <c r="K121" s="56">
        <f>K36</f>
        <v>1309.81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90" t="s">
        <v>268</v>
      </c>
      <c r="E125" s="91"/>
      <c r="F125" s="91"/>
      <c r="G125" s="91"/>
      <c r="H125" s="91"/>
      <c r="I125" s="91"/>
      <c r="J125" s="91"/>
      <c r="K125" s="92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2324.7468720000002</v>
      </c>
      <c r="H142" s="64">
        <f>SUM( H143:H144)</f>
        <v>0</v>
      </c>
      <c r="I142" s="64">
        <f>SUM( I143:I144)</f>
        <v>0</v>
      </c>
      <c r="J142" s="64">
        <f>SUM( J143:J144)</f>
        <v>344.31415200000004</v>
      </c>
      <c r="K142" s="64">
        <f>SUM( K143:K144)</f>
        <v>1980.43272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2324.7468720000002</v>
      </c>
      <c r="H143" s="63"/>
      <c r="I143" s="63"/>
      <c r="J143" s="65">
        <f>J121*1.512</f>
        <v>344.31415200000004</v>
      </c>
      <c r="K143" s="65">
        <f>K121*1.512</f>
        <v>1980.43272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83" t="str">
        <f>IF([20]Титульный!G45="","",[20]Титульный!G45)</f>
        <v>Коммерческий директор</v>
      </c>
      <c r="G148" s="83"/>
      <c r="H148" s="70"/>
      <c r="I148" s="83" t="str">
        <f>IF([21]Титульный!G44="","",[21]Титульный!G44)</f>
        <v>Байков Алексей Александрович</v>
      </c>
      <c r="J148" s="83"/>
      <c r="K148" s="83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93" t="s">
        <v>322</v>
      </c>
      <c r="G149" s="93"/>
      <c r="H149" s="72"/>
      <c r="I149" s="93" t="s">
        <v>323</v>
      </c>
      <c r="J149" s="93"/>
      <c r="K149" s="93"/>
      <c r="L149" s="72"/>
      <c r="M149" s="93" t="s">
        <v>324</v>
      </c>
      <c r="N149" s="93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83" t="str">
        <f>IF([20]Титульный!G46="","",[20]Титульный!G46)</f>
        <v>(495) 637 3220</v>
      </c>
      <c r="G151" s="83"/>
      <c r="H151" s="83"/>
      <c r="I151" s="24"/>
      <c r="J151" s="73" t="s">
        <v>327</v>
      </c>
      <c r="K151" s="78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94" t="s">
        <v>329</v>
      </c>
      <c r="G152" s="94"/>
      <c r="H152" s="94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9:G149"/>
    <mergeCell ref="I149:K149"/>
    <mergeCell ref="M149:N149"/>
    <mergeCell ref="F151:H151"/>
    <mergeCell ref="F152:H152"/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="60" zoomScaleNormal="100" workbookViewId="0">
      <selection activeCell="G9" sqref="G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t="11.25" hidden="1" customHeight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t="11.25" hidden="1" customHeight="1" x14ac:dyDescent="0.25"/>
    <row r="3" spans="1:77" ht="11.25" hidden="1" customHeight="1" x14ac:dyDescent="0.25"/>
    <row r="4" spans="1:77" ht="11.25" hidden="1" customHeight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t="11.25" hidden="1" customHeight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t="11.25" hidden="1" customHeight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4" t="s">
        <v>11</v>
      </c>
      <c r="E8" s="84"/>
      <c r="F8" s="9"/>
      <c r="G8" s="9" t="s">
        <v>344</v>
      </c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5" t="s">
        <v>13</v>
      </c>
      <c r="E11" s="87" t="s">
        <v>14</v>
      </c>
      <c r="F11" s="87" t="s">
        <v>15</v>
      </c>
      <c r="G11" s="87" t="s">
        <v>16</v>
      </c>
      <c r="H11" s="87" t="s">
        <v>17</v>
      </c>
      <c r="I11" s="87"/>
      <c r="J11" s="87"/>
      <c r="K11" s="89"/>
      <c r="L11" s="13"/>
    </row>
    <row r="12" spans="1:77" ht="15" customHeight="1" x14ac:dyDescent="0.25">
      <c r="C12" s="6"/>
      <c r="D12" s="86"/>
      <c r="E12" s="88"/>
      <c r="F12" s="88"/>
      <c r="G12" s="88"/>
      <c r="H12" s="79" t="s">
        <v>18</v>
      </c>
      <c r="I12" s="79" t="s">
        <v>19</v>
      </c>
      <c r="J12" s="79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90" t="s">
        <v>22</v>
      </c>
      <c r="E14" s="91"/>
      <c r="F14" s="91"/>
      <c r="G14" s="91"/>
      <c r="H14" s="91"/>
      <c r="I14" s="91"/>
      <c r="J14" s="91"/>
      <c r="K14" s="92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1673.6769999999999</v>
      </c>
      <c r="H15" s="23">
        <f>H16+H17+H20+H23</f>
        <v>1673.6769999999999</v>
      </c>
      <c r="I15" s="23">
        <f>I16+I17+I20+I23</f>
        <v>0</v>
      </c>
      <c r="J15" s="23">
        <f>J16+J17+J20+J23</f>
        <v>0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1673.6769999999999</v>
      </c>
      <c r="H23" s="23">
        <f>SUM(H24:H26)</f>
        <v>1673.6769999999999</v>
      </c>
      <c r="I23" s="23">
        <f>SUM(I24:I26)</f>
        <v>0</v>
      </c>
      <c r="J23" s="23">
        <f>SUM(J24:J26)</f>
        <v>0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1673.6769999999999</v>
      </c>
      <c r="H25" s="42">
        <v>1673.6769999999999</v>
      </c>
      <c r="I25" s="42"/>
      <c r="J25" s="42"/>
      <c r="K25" s="42"/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3057.6009999999997</v>
      </c>
      <c r="H27" s="23">
        <f>H29+H30+H31</f>
        <v>0</v>
      </c>
      <c r="I27" s="23">
        <f>I28+I30+I31</f>
        <v>0</v>
      </c>
      <c r="J27" s="23">
        <f>J28+J29+J31</f>
        <v>1673.6769999999999</v>
      </c>
      <c r="K27" s="23">
        <f>K28+K29+K30</f>
        <v>1383.924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1673.6769999999999</v>
      </c>
      <c r="H28" s="45"/>
      <c r="I28" s="27"/>
      <c r="J28" s="27">
        <f>H25</f>
        <v>1673.6769999999999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1383.924</v>
      </c>
      <c r="H30" s="27"/>
      <c r="I30" s="27"/>
      <c r="J30" s="45"/>
      <c r="K30" s="27">
        <f>H25+J25-J36-J46</f>
        <v>1383.924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1366.6659999999999</v>
      </c>
      <c r="H33" s="23">
        <f>H34+H36+H39+H42</f>
        <v>0</v>
      </c>
      <c r="I33" s="23">
        <f>I34+I36+I39+I42</f>
        <v>0</v>
      </c>
      <c r="J33" s="23">
        <f>J34+J36+J39+J42</f>
        <v>289.75299999999999</v>
      </c>
      <c r="K33" s="23">
        <f>K34+K36+K39+K42</f>
        <v>1076.913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1366.6659999999999</v>
      </c>
      <c r="H36" s="27">
        <v>0</v>
      </c>
      <c r="I36" s="27">
        <v>0</v>
      </c>
      <c r="J36" s="27">
        <v>289.75299999999999</v>
      </c>
      <c r="K36" s="27">
        <v>1076.913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3057.6009999999997</v>
      </c>
      <c r="H43" s="27">
        <f>J28</f>
        <v>1673.6769999999999</v>
      </c>
      <c r="I43" s="27"/>
      <c r="J43" s="27">
        <f>K30</f>
        <v>1383.924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307.01099999999997</v>
      </c>
      <c r="H46" s="27"/>
      <c r="I46" s="27"/>
      <c r="J46" s="27"/>
      <c r="K46" s="27">
        <f>G25-G36</f>
        <v>307.01099999999997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/>
      <c r="K47" s="27"/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137.6</v>
      </c>
      <c r="H48" s="27"/>
      <c r="I48" s="27"/>
      <c r="J48" s="27"/>
      <c r="K48" s="27">
        <f>0.1376*1000</f>
        <v>137.6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169.41099999999997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169.41099999999997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90" t="s">
        <v>109</v>
      </c>
      <c r="E51" s="91"/>
      <c r="F51" s="91"/>
      <c r="G51" s="91"/>
      <c r="H51" s="91"/>
      <c r="I51" s="91"/>
      <c r="J51" s="91"/>
      <c r="K51" s="92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2.9119999999999999</v>
      </c>
      <c r="H52" s="23">
        <f>H53+H54+H57+H60</f>
        <v>2.9119999999999999</v>
      </c>
      <c r="I52" s="23">
        <f>I53+I54+I57+I60</f>
        <v>0</v>
      </c>
      <c r="J52" s="23">
        <f>J53+J54+J57+J60</f>
        <v>0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2.9119999999999999</v>
      </c>
      <c r="H60" s="23">
        <f>SUM(H61:H63)</f>
        <v>2.9119999999999999</v>
      </c>
      <c r="I60" s="23">
        <f>SUM(I61:I63)</f>
        <v>0</v>
      </c>
      <c r="J60" s="23">
        <f>SUM(J61:J63)</f>
        <v>0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2.9119999999999999</v>
      </c>
      <c r="H62" s="52">
        <v>2.9119999999999999</v>
      </c>
      <c r="I62" s="52"/>
      <c r="J62" s="52"/>
      <c r="K62" s="53"/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5.327</v>
      </c>
      <c r="H64" s="23">
        <f>H66+H67+H68</f>
        <v>0</v>
      </c>
      <c r="I64" s="23">
        <f>I65+I67+I68</f>
        <v>0</v>
      </c>
      <c r="J64" s="23">
        <f>J65+J66+J68</f>
        <v>2.9119999999999999</v>
      </c>
      <c r="K64" s="23">
        <f>K65+K66+K67</f>
        <v>2.415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2.9119999999999999</v>
      </c>
      <c r="H65" s="45"/>
      <c r="I65" s="27"/>
      <c r="J65" s="27">
        <f>H62</f>
        <v>2.9119999999999999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2.415</v>
      </c>
      <c r="H67" s="27"/>
      <c r="I67" s="27"/>
      <c r="J67" s="45"/>
      <c r="K67" s="27">
        <f>K73+K83</f>
        <v>2.415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2.3439999999999999</v>
      </c>
      <c r="H70" s="23">
        <f>H71+H73+H76+H79</f>
        <v>0</v>
      </c>
      <c r="I70" s="23">
        <f>I71+I73+I76+I79</f>
        <v>0</v>
      </c>
      <c r="J70" s="23">
        <f>J71+J73+J76+J79</f>
        <v>0.497</v>
      </c>
      <c r="K70" s="23">
        <f>K71+K73+K76+K79</f>
        <v>1.847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2.3439999999999999</v>
      </c>
      <c r="H73" s="27"/>
      <c r="I73" s="27"/>
      <c r="J73" s="27">
        <v>0.497</v>
      </c>
      <c r="K73" s="27">
        <v>1.847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5.327</v>
      </c>
      <c r="H80" s="27">
        <f>H62</f>
        <v>2.9119999999999999</v>
      </c>
      <c r="I80" s="27"/>
      <c r="J80" s="27">
        <f>K67</f>
        <v>2.415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0.56800000000000006</v>
      </c>
      <c r="H83" s="27"/>
      <c r="I83" s="27"/>
      <c r="J83" s="27"/>
      <c r="K83" s="27">
        <f>G62-G73</f>
        <v>0.56800000000000006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0.23050000000000001</v>
      </c>
      <c r="H85" s="27"/>
      <c r="I85" s="27"/>
      <c r="J85" s="27"/>
      <c r="K85" s="27">
        <v>0.23050000000000001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0.33750000000000002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0.33750000000000002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90" t="s">
        <v>170</v>
      </c>
      <c r="E88" s="91"/>
      <c r="F88" s="91"/>
      <c r="G88" s="91"/>
      <c r="H88" s="91"/>
      <c r="I88" s="91"/>
      <c r="J88" s="91"/>
      <c r="K88" s="92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2.3439999999999999</v>
      </c>
      <c r="H89" s="27"/>
      <c r="I89" s="27"/>
      <c r="J89" s="42">
        <f>J73</f>
        <v>0.497</v>
      </c>
      <c r="K89" s="42">
        <f>K73</f>
        <v>1.847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90" t="s">
        <v>180</v>
      </c>
      <c r="E92" s="91"/>
      <c r="F92" s="91"/>
      <c r="G92" s="91"/>
      <c r="H92" s="91"/>
      <c r="I92" s="91"/>
      <c r="J92" s="91"/>
      <c r="K92" s="92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1366.6659999999999</v>
      </c>
      <c r="H120" s="57">
        <f>SUM(H121:H122)</f>
        <v>0</v>
      </c>
      <c r="I120" s="57">
        <f>SUM(I121:I122)</f>
        <v>0</v>
      </c>
      <c r="J120" s="57">
        <f>SUM(J121:J122)</f>
        <v>289.75299999999999</v>
      </c>
      <c r="K120" s="57">
        <f>SUM(K121:K122)</f>
        <v>1076.913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1366.6659999999999</v>
      </c>
      <c r="H121" s="56"/>
      <c r="I121" s="56"/>
      <c r="J121" s="56">
        <f>J36</f>
        <v>289.75299999999999</v>
      </c>
      <c r="K121" s="56">
        <f>K36</f>
        <v>1076.913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90" t="s">
        <v>268</v>
      </c>
      <c r="E125" s="91"/>
      <c r="F125" s="91"/>
      <c r="G125" s="91"/>
      <c r="H125" s="91"/>
      <c r="I125" s="91"/>
      <c r="J125" s="91"/>
      <c r="K125" s="92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2066.3989920000004</v>
      </c>
      <c r="H142" s="64">
        <f>SUM( H143:H144)</f>
        <v>0</v>
      </c>
      <c r="I142" s="64">
        <f>SUM( I143:I144)</f>
        <v>0</v>
      </c>
      <c r="J142" s="64">
        <f>SUM( J143:J144)</f>
        <v>438.10653600000001</v>
      </c>
      <c r="K142" s="64">
        <f>SUM( K143:K144)</f>
        <v>1628.2924560000001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2066.3989920000004</v>
      </c>
      <c r="H143" s="63"/>
      <c r="I143" s="63"/>
      <c r="J143" s="65">
        <f>J121*1.512</f>
        <v>438.10653600000001</v>
      </c>
      <c r="K143" s="65">
        <f>K121*1.512</f>
        <v>1628.2924560000001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83" t="str">
        <f>IF([1]Титульный!G45="","",[1]Титульный!G45)</f>
        <v>Коммерческий директор</v>
      </c>
      <c r="G148" s="83"/>
      <c r="H148" s="70"/>
      <c r="I148" s="83" t="str">
        <f>IF([22]Титульный!G44="","",[22]Титульный!G44)</f>
        <v>Байков Алексей Александрович</v>
      </c>
      <c r="J148" s="83"/>
      <c r="K148" s="83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93" t="s">
        <v>322</v>
      </c>
      <c r="G149" s="93"/>
      <c r="H149" s="72"/>
      <c r="I149" s="93" t="s">
        <v>323</v>
      </c>
      <c r="J149" s="93"/>
      <c r="K149" s="93"/>
      <c r="L149" s="72"/>
      <c r="M149" s="93" t="s">
        <v>324</v>
      </c>
      <c r="N149" s="93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83" t="str">
        <f>IF([1]Титульный!G46="","",[1]Титульный!G46)</f>
        <v>(495) 637 3220</v>
      </c>
      <c r="G151" s="83"/>
      <c r="H151" s="83"/>
      <c r="I151" s="24"/>
      <c r="J151" s="73" t="s">
        <v>327</v>
      </c>
      <c r="K151" s="78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94" t="s">
        <v>329</v>
      </c>
      <c r="G152" s="94"/>
      <c r="H152" s="94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9:G149"/>
    <mergeCell ref="I149:K149"/>
    <mergeCell ref="M149:N149"/>
    <mergeCell ref="F151:H151"/>
    <mergeCell ref="F152:H152"/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Normal="100" zoomScaleSheetLayoutView="100" workbookViewId="0">
      <selection activeCell="G9" sqref="G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4" t="s">
        <v>11</v>
      </c>
      <c r="E8" s="84"/>
      <c r="F8" s="9"/>
      <c r="G8" s="9" t="s">
        <v>345</v>
      </c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5" t="s">
        <v>13</v>
      </c>
      <c r="E11" s="87" t="s">
        <v>14</v>
      </c>
      <c r="F11" s="87" t="s">
        <v>15</v>
      </c>
      <c r="G11" s="87" t="s">
        <v>16</v>
      </c>
      <c r="H11" s="87" t="s">
        <v>17</v>
      </c>
      <c r="I11" s="87"/>
      <c r="J11" s="87"/>
      <c r="K11" s="89"/>
      <c r="L11" s="13"/>
    </row>
    <row r="12" spans="1:77" ht="15" customHeight="1" x14ac:dyDescent="0.25">
      <c r="C12" s="6"/>
      <c r="D12" s="86"/>
      <c r="E12" s="88"/>
      <c r="F12" s="88"/>
      <c r="G12" s="88"/>
      <c r="H12" s="77" t="s">
        <v>18</v>
      </c>
      <c r="I12" s="77" t="s">
        <v>19</v>
      </c>
      <c r="J12" s="77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90" t="s">
        <v>22</v>
      </c>
      <c r="E14" s="91"/>
      <c r="F14" s="91"/>
      <c r="G14" s="91"/>
      <c r="H14" s="91"/>
      <c r="I14" s="91"/>
      <c r="J14" s="91"/>
      <c r="K14" s="92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8822.2639999999992</v>
      </c>
      <c r="H15" s="23">
        <f>H16+H17+H20+H23</f>
        <v>8833.6239999999998</v>
      </c>
      <c r="I15" s="23">
        <f>I16+I17+I20+I23</f>
        <v>0</v>
      </c>
      <c r="J15" s="23">
        <f>J16+J17+J20+J23</f>
        <v>-11.36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8822.2639999999992</v>
      </c>
      <c r="H23" s="23">
        <f>SUM(H24:H26)</f>
        <v>8833.6239999999998</v>
      </c>
      <c r="I23" s="23">
        <f>SUM(I24:I26)</f>
        <v>0</v>
      </c>
      <c r="J23" s="23">
        <f>SUM(J24:J26)</f>
        <v>-11.36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8822.2639999999992</v>
      </c>
      <c r="H25" s="42">
        <f>июль!H25+август!H25+сентябрь!H25+октябрь!H25+ноябрь!H25+декабрь!H25</f>
        <v>8833.6239999999998</v>
      </c>
      <c r="I25" s="42">
        <v>0</v>
      </c>
      <c r="J25" s="42">
        <f>июль!J25+август!J25+сентябрь!J25+октябрь!J25+ноябрь!J25+декабрь!J25</f>
        <v>-11.36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16492.449999999997</v>
      </c>
      <c r="H27" s="23">
        <f>H29+H30+H31</f>
        <v>0</v>
      </c>
      <c r="I27" s="23">
        <f>I28+I30+I31</f>
        <v>0</v>
      </c>
      <c r="J27" s="23">
        <f>J28+J29+J31</f>
        <v>8833.6239999999998</v>
      </c>
      <c r="K27" s="23">
        <f>K28+K29+K30</f>
        <v>7658.8259999999991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8833.6239999999998</v>
      </c>
      <c r="H28" s="45"/>
      <c r="I28" s="27"/>
      <c r="J28" s="27">
        <f>H25</f>
        <v>8833.6239999999998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7658.8259999999991</v>
      </c>
      <c r="H30" s="27"/>
      <c r="I30" s="27"/>
      <c r="J30" s="45"/>
      <c r="K30" s="27">
        <f>H25+J25-J36-J46</f>
        <v>7658.8259999999991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7543.6310000000012</v>
      </c>
      <c r="H33" s="23">
        <f>H34+H36+H39+H42</f>
        <v>0</v>
      </c>
      <c r="I33" s="23">
        <f>I34+I36+I39+I42</f>
        <v>0</v>
      </c>
      <c r="J33" s="23">
        <f>J34+J36+J39+J42</f>
        <v>1163.4379999999999</v>
      </c>
      <c r="K33" s="23">
        <f>K34+K36+K39+K42</f>
        <v>6380.1930000000011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7543.6310000000012</v>
      </c>
      <c r="H36" s="27">
        <v>0</v>
      </c>
      <c r="I36" s="27">
        <v>0</v>
      </c>
      <c r="J36" s="42">
        <f>июль!J36+август!J36+сентябрь!J36+октябрь!J36+ноябрь!J36+декабрь!J36</f>
        <v>1163.4379999999999</v>
      </c>
      <c r="K36" s="42">
        <f>июль!K36+август!K36+сентябрь!K36+октябрь!K36+ноябрь!K36+декабрь!K36</f>
        <v>6380.1930000000011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16492.449999999997</v>
      </c>
      <c r="H43" s="27">
        <f>J28</f>
        <v>8833.6239999999998</v>
      </c>
      <c r="I43" s="27"/>
      <c r="J43" s="27">
        <f>K30</f>
        <v>7658.8259999999991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1278.632999999998</v>
      </c>
      <c r="H46" s="27"/>
      <c r="I46" s="27"/>
      <c r="J46" s="27"/>
      <c r="K46" s="27">
        <f>G25-G36</f>
        <v>1278.632999999998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561.20000000000005</v>
      </c>
      <c r="H48" s="27"/>
      <c r="I48" s="27"/>
      <c r="J48" s="42">
        <f>июль!J48+август!J48+сентябрь!J48+октябрь!J48+ноябрь!J48+декабрь!J48</f>
        <v>0</v>
      </c>
      <c r="K48" s="42">
        <f>июль!K48+август!K48+сентябрь!K48+октябрь!K48+ноябрь!K48+декабрь!K48</f>
        <v>561.20000000000005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717.43299999999795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717.43299999999795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90" t="s">
        <v>109</v>
      </c>
      <c r="E51" s="91"/>
      <c r="F51" s="91"/>
      <c r="G51" s="91"/>
      <c r="H51" s="91"/>
      <c r="I51" s="91"/>
      <c r="J51" s="91"/>
      <c r="K51" s="92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2.4155666666666664</v>
      </c>
      <c r="H52" s="23">
        <f>H53+H54+H57+H60</f>
        <v>2.4155666666666664</v>
      </c>
      <c r="I52" s="23">
        <f>I53+I54+I57+I60</f>
        <v>0</v>
      </c>
      <c r="J52" s="23">
        <f>J53+J54+J57+J60</f>
        <v>0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2.4155666666666664</v>
      </c>
      <c r="H60" s="23">
        <f>SUM(H61:H63)</f>
        <v>2.4155666666666664</v>
      </c>
      <c r="I60" s="23">
        <f>SUM(I61:I63)</f>
        <v>0</v>
      </c>
      <c r="J60" s="23">
        <f>SUM(J61:J63)</f>
        <v>0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2.4155666666666664</v>
      </c>
      <c r="H62" s="42">
        <f>(июль!H62+август!H62+сентябрь!H62+октябрь!H62+ноябрь!H62+декабрь!H62)/6</f>
        <v>2.4155666666666664</v>
      </c>
      <c r="I62" s="52">
        <v>0</v>
      </c>
      <c r="J62" s="42">
        <f>(июль!J62+август!J62+сентябрь!J62+октябрь!J62+ноябрь!J62+декабрь!J62)/6</f>
        <v>0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4.4997999999999987</v>
      </c>
      <c r="H64" s="23">
        <f>H66+H67+H68</f>
        <v>0</v>
      </c>
      <c r="I64" s="23">
        <f>I65+I67+I68</f>
        <v>0</v>
      </c>
      <c r="J64" s="23">
        <f>J65+J66+J68</f>
        <v>2.4155666666666664</v>
      </c>
      <c r="K64" s="23">
        <f>K65+K66+K67</f>
        <v>2.0842333333333327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2.4155666666666664</v>
      </c>
      <c r="H65" s="45"/>
      <c r="I65" s="27"/>
      <c r="J65" s="27">
        <f>H62</f>
        <v>2.4155666666666664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2.0842333333333327</v>
      </c>
      <c r="H67" s="27"/>
      <c r="I67" s="27"/>
      <c r="J67" s="45"/>
      <c r="K67" s="27">
        <f>K73+K83</f>
        <v>2.0842333333333327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2.1551666666666667</v>
      </c>
      <c r="H70" s="23">
        <f>H71+H73+H76+H79</f>
        <v>0</v>
      </c>
      <c r="I70" s="23">
        <f>I71+I73+I76+I79</f>
        <v>0</v>
      </c>
      <c r="J70" s="23">
        <f>J71+J73+J76+J79</f>
        <v>0.33133333333333331</v>
      </c>
      <c r="K70" s="23">
        <f>K71+K73+K76+K79</f>
        <v>1.8238333333333332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2.1551666666666667</v>
      </c>
      <c r="H73" s="27">
        <v>0</v>
      </c>
      <c r="I73" s="27">
        <v>0</v>
      </c>
      <c r="J73" s="42">
        <f>(июль!J73+август!J73+сентябрь!J73+октябрь!J73+ноябрь!J73+декабрь!J73)/6</f>
        <v>0.33133333333333331</v>
      </c>
      <c r="K73" s="42">
        <f>(июль!K73+август!K73+сентябрь!K73+октябрь!K73+ноябрь!K73+декабрь!K73)/6</f>
        <v>1.8238333333333332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4.4997999999999987</v>
      </c>
      <c r="H80" s="27">
        <f>H62</f>
        <v>2.4155666666666664</v>
      </c>
      <c r="I80" s="27"/>
      <c r="J80" s="27">
        <f>K67</f>
        <v>2.0842333333333327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0.26039999999999974</v>
      </c>
      <c r="H83" s="27"/>
      <c r="I83" s="27"/>
      <c r="J83" s="27"/>
      <c r="K83" s="27">
        <f>G62-G73</f>
        <v>0.26039999999999974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0.18856666666666666</v>
      </c>
      <c r="H85" s="27"/>
      <c r="I85" s="27"/>
      <c r="J85" s="42">
        <f>(июль!J85+август!J85+сентябрь!J85+октябрь!J85+ноябрь!J85+декабрь!J85)/6</f>
        <v>0</v>
      </c>
      <c r="K85" s="42">
        <f>(июль!K85+август!K85+сентябрь!K85+октябрь!K85+ноябрь!K85+декабрь!K85)/6</f>
        <v>0.18856666666666666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7.1833333333333083E-2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7.1833333333333083E-2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90" t="s">
        <v>170</v>
      </c>
      <c r="E88" s="91"/>
      <c r="F88" s="91"/>
      <c r="G88" s="91"/>
      <c r="H88" s="91"/>
      <c r="I88" s="91"/>
      <c r="J88" s="91"/>
      <c r="K88" s="92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2.1551666666666667</v>
      </c>
      <c r="H89" s="27"/>
      <c r="I89" s="27"/>
      <c r="J89" s="42">
        <f>J73</f>
        <v>0.33133333333333331</v>
      </c>
      <c r="K89" s="42">
        <f>K73</f>
        <v>1.8238333333333332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90" t="s">
        <v>180</v>
      </c>
      <c r="E92" s="91"/>
      <c r="F92" s="91"/>
      <c r="G92" s="91"/>
      <c r="H92" s="91"/>
      <c r="I92" s="91"/>
      <c r="J92" s="91"/>
      <c r="K92" s="92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7543.6310000000012</v>
      </c>
      <c r="H120" s="57">
        <f>SUM(H121:H122)</f>
        <v>0</v>
      </c>
      <c r="I120" s="57">
        <f>SUM(I121:I122)</f>
        <v>0</v>
      </c>
      <c r="J120" s="57">
        <f>SUM(J121:J122)</f>
        <v>1163.4379999999999</v>
      </c>
      <c r="K120" s="57">
        <f>SUM(K121:K122)</f>
        <v>6380.1930000000011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7543.6310000000012</v>
      </c>
      <c r="H121" s="56"/>
      <c r="I121" s="56"/>
      <c r="J121" s="56">
        <f>J36</f>
        <v>1163.4379999999999</v>
      </c>
      <c r="K121" s="56">
        <f>K36</f>
        <v>6380.1930000000011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90" t="s">
        <v>268</v>
      </c>
      <c r="E125" s="91"/>
      <c r="F125" s="91"/>
      <c r="G125" s="91"/>
      <c r="H125" s="91"/>
      <c r="I125" s="91"/>
      <c r="J125" s="91"/>
      <c r="K125" s="92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10983.526736</v>
      </c>
      <c r="H142" s="64">
        <f>SUM( H143:H144)</f>
        <v>0</v>
      </c>
      <c r="I142" s="64">
        <f>SUM( I143:I144)</f>
        <v>0</v>
      </c>
      <c r="J142" s="64">
        <f>SUM( J143:J144)</f>
        <v>1693.9657279999997</v>
      </c>
      <c r="K142" s="64">
        <f>SUM( K143:K144)</f>
        <v>9289.5610080000006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10983.526736</v>
      </c>
      <c r="H143" s="63"/>
      <c r="I143" s="63"/>
      <c r="J143" s="65">
        <f>J121*1.456</f>
        <v>1693.9657279999997</v>
      </c>
      <c r="K143" s="65">
        <f>K121*1.456</f>
        <v>9289.5610080000006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83" t="str">
        <f>IF([1]Титульный!G45="","",[1]Титульный!G45)</f>
        <v>Коммерческий директор</v>
      </c>
      <c r="G148" s="83"/>
      <c r="H148" s="70"/>
      <c r="I148" s="83" t="str">
        <f>IF([1]Титульный!G44="","",[1]Титульный!G44)</f>
        <v>Байков Алексей Александрович</v>
      </c>
      <c r="J148" s="83"/>
      <c r="K148" s="83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93" t="s">
        <v>322</v>
      </c>
      <c r="G149" s="93"/>
      <c r="H149" s="72"/>
      <c r="I149" s="93" t="s">
        <v>323</v>
      </c>
      <c r="J149" s="93"/>
      <c r="K149" s="93"/>
      <c r="L149" s="72"/>
      <c r="M149" s="93" t="s">
        <v>324</v>
      </c>
      <c r="N149" s="93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83" t="str">
        <f>IF([1]Титульный!G46="","",[1]Титульный!G46)</f>
        <v>(495) 637 3220</v>
      </c>
      <c r="G151" s="83"/>
      <c r="H151" s="83"/>
      <c r="I151" s="24"/>
      <c r="J151" s="73" t="s">
        <v>327</v>
      </c>
      <c r="K151" s="76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94" t="s">
        <v>329</v>
      </c>
      <c r="G152" s="94"/>
      <c r="H152" s="94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9:G149"/>
    <mergeCell ref="I149:K149"/>
    <mergeCell ref="M149:N149"/>
    <mergeCell ref="F151:H151"/>
    <mergeCell ref="F152:H152"/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</mergeCells>
  <dataValidations count="2">
    <dataValidation type="decimal" allowBlank="1" showErrorMessage="1" errorTitle="Ошибка" error="Допускается ввод только действительных чисел!" sqref="G42:K50 G89:K91 G93:K124 G52:K55 G27:K40 G64:K77 G20:K21 G60:K62 G79:K87 G15:K18 G126:K146 G57:K58 G23:K2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25 E62"/>
  </dataValidation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81"/>
  <sheetViews>
    <sheetView tabSelected="1" view="pageBreakPreview" topLeftCell="C7" zoomScaleNormal="100" zoomScaleSheetLayoutView="100" workbookViewId="0">
      <selection activeCell="E29" sqref="E28:E2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6384" width="9.140625" style="1"/>
  </cols>
  <sheetData>
    <row r="1" spans="1:48" hidden="1" x14ac:dyDescent="0.25">
      <c r="L1" s="2"/>
      <c r="M1" s="2"/>
      <c r="Z1" s="2"/>
      <c r="AC1" s="2"/>
      <c r="AF1" s="2"/>
      <c r="AG1" s="2"/>
      <c r="AU1" s="2"/>
      <c r="AV1" s="2"/>
    </row>
    <row r="2" spans="1:48" hidden="1" x14ac:dyDescent="0.25"/>
    <row r="3" spans="1:48" hidden="1" x14ac:dyDescent="0.25"/>
    <row r="4" spans="1:48" hidden="1" x14ac:dyDescent="0.25">
      <c r="A4" s="3"/>
      <c r="F4" s="4"/>
      <c r="G4" s="4"/>
      <c r="H4" s="4"/>
      <c r="I4" s="4"/>
      <c r="J4" s="4"/>
      <c r="K4" s="4"/>
    </row>
    <row r="5" spans="1:48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</row>
    <row r="6" spans="1:48" hidden="1" x14ac:dyDescent="0.25">
      <c r="A6" s="5"/>
    </row>
    <row r="7" spans="1:48" ht="12" customHeight="1" x14ac:dyDescent="0.25">
      <c r="A7" s="5"/>
      <c r="D7" s="6"/>
      <c r="E7" s="6"/>
      <c r="F7" s="6"/>
      <c r="G7" s="6"/>
      <c r="H7" s="6"/>
      <c r="I7" s="6"/>
      <c r="J7" s="6"/>
      <c r="K7" s="7"/>
    </row>
    <row r="8" spans="1:48" ht="22.5" customHeight="1" x14ac:dyDescent="0.25">
      <c r="A8" s="5"/>
      <c r="D8" s="84" t="s">
        <v>11</v>
      </c>
      <c r="E8" s="84"/>
      <c r="F8" s="9"/>
      <c r="G8" s="9" t="s">
        <v>346</v>
      </c>
      <c r="H8" s="9"/>
      <c r="I8" s="9"/>
      <c r="J8" s="9"/>
      <c r="K8" s="9"/>
    </row>
    <row r="9" spans="1:48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</row>
    <row r="10" spans="1:48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48" ht="15" customHeight="1" x14ac:dyDescent="0.25">
      <c r="C11" s="6"/>
      <c r="D11" s="85" t="s">
        <v>13</v>
      </c>
      <c r="E11" s="87" t="s">
        <v>14</v>
      </c>
      <c r="F11" s="87" t="s">
        <v>15</v>
      </c>
      <c r="G11" s="87" t="s">
        <v>16</v>
      </c>
      <c r="H11" s="87" t="s">
        <v>17</v>
      </c>
      <c r="I11" s="87"/>
      <c r="J11" s="87"/>
      <c r="K11" s="89"/>
    </row>
    <row r="12" spans="1:48" ht="15" customHeight="1" x14ac:dyDescent="0.25">
      <c r="C12" s="6"/>
      <c r="D12" s="86"/>
      <c r="E12" s="88"/>
      <c r="F12" s="88"/>
      <c r="G12" s="88"/>
      <c r="H12" s="77" t="s">
        <v>18</v>
      </c>
      <c r="I12" s="77" t="s">
        <v>19</v>
      </c>
      <c r="J12" s="77" t="s">
        <v>20</v>
      </c>
      <c r="K12" s="15" t="s">
        <v>21</v>
      </c>
    </row>
    <row r="13" spans="1:48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48" s="17" customFormat="1" ht="15" customHeight="1" x14ac:dyDescent="0.25">
      <c r="C14" s="18"/>
      <c r="D14" s="90" t="s">
        <v>22</v>
      </c>
      <c r="E14" s="91"/>
      <c r="F14" s="91"/>
      <c r="G14" s="91"/>
      <c r="H14" s="91"/>
      <c r="I14" s="91"/>
      <c r="J14" s="91"/>
      <c r="K14" s="92"/>
    </row>
    <row r="15" spans="1:48" s="17" customFormat="1" ht="15" customHeight="1" x14ac:dyDescent="0.25">
      <c r="C15" s="18"/>
      <c r="D15" s="20" t="s">
        <v>23</v>
      </c>
      <c r="E15" s="21" t="s">
        <v>24</v>
      </c>
      <c r="F15" s="22">
        <v>10</v>
      </c>
      <c r="G15" s="23">
        <f>SUM(H15:K15)</f>
        <v>18324.936999999998</v>
      </c>
      <c r="H15" s="23">
        <f>H16+H17+H20+H23</f>
        <v>18336.296999999999</v>
      </c>
      <c r="I15" s="23">
        <f>I16+I17+I20+I23</f>
        <v>0</v>
      </c>
      <c r="J15" s="23">
        <f>J16+J17+J20+J23</f>
        <v>-11.36</v>
      </c>
      <c r="K15" s="23">
        <f>K16+K17+K20+K23</f>
        <v>0</v>
      </c>
    </row>
    <row r="16" spans="1:48" s="17" customFormat="1" ht="15" customHeight="1" x14ac:dyDescent="0.25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</row>
    <row r="17" spans="3:11" s="17" customFormat="1" x14ac:dyDescent="0.25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</row>
    <row r="18" spans="3:11" s="17" customFormat="1" x14ac:dyDescent="0.25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</row>
    <row r="19" spans="3:11" s="17" customFormat="1" x14ac:dyDescent="0.25">
      <c r="C19" s="18"/>
      <c r="D19" s="32"/>
      <c r="E19" s="33" t="s">
        <v>31</v>
      </c>
      <c r="F19" s="34"/>
      <c r="G19" s="34"/>
      <c r="H19" s="34"/>
      <c r="I19" s="34"/>
      <c r="J19" s="34"/>
      <c r="K19" s="35"/>
    </row>
    <row r="20" spans="3:11" s="17" customFormat="1" x14ac:dyDescent="0.25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</row>
    <row r="21" spans="3:11" s="17" customFormat="1" x14ac:dyDescent="0.25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</row>
    <row r="22" spans="3:11" s="17" customFormat="1" x14ac:dyDescent="0.25">
      <c r="C22" s="18"/>
      <c r="D22" s="32"/>
      <c r="E22" s="33" t="s">
        <v>31</v>
      </c>
      <c r="F22" s="34"/>
      <c r="G22" s="34"/>
      <c r="H22" s="34"/>
      <c r="I22" s="34"/>
      <c r="J22" s="34"/>
      <c r="K22" s="35"/>
    </row>
    <row r="23" spans="3:11" s="17" customFormat="1" x14ac:dyDescent="0.25">
      <c r="C23" s="18"/>
      <c r="D23" s="20" t="s">
        <v>36</v>
      </c>
      <c r="E23" s="26" t="s">
        <v>37</v>
      </c>
      <c r="F23" s="22" t="s">
        <v>38</v>
      </c>
      <c r="G23" s="23">
        <f t="shared" si="0"/>
        <v>18324.936999999998</v>
      </c>
      <c r="H23" s="23">
        <f>SUM(H24:H26)</f>
        <v>18336.296999999999</v>
      </c>
      <c r="I23" s="23">
        <f>SUM(I24:I26)</f>
        <v>0</v>
      </c>
      <c r="J23" s="23">
        <f>SUM(J24:J26)</f>
        <v>-11.36</v>
      </c>
      <c r="K23" s="23">
        <f>SUM(K24:K26)</f>
        <v>0</v>
      </c>
    </row>
    <row r="24" spans="3:11" s="17" customFormat="1" x14ac:dyDescent="0.25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</row>
    <row r="25" spans="3:11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18324.936999999998</v>
      </c>
      <c r="H25" s="42">
        <f>'1 пг'!H25+'2 пг'!H25</f>
        <v>18336.296999999999</v>
      </c>
      <c r="I25" s="42">
        <v>0</v>
      </c>
      <c r="J25" s="42">
        <f>'1 пг'!J25+'2 пг'!J25</f>
        <v>-11.36</v>
      </c>
      <c r="K25" s="42">
        <v>0</v>
      </c>
    </row>
    <row r="26" spans="3:11" s="17" customFormat="1" x14ac:dyDescent="0.25">
      <c r="C26" s="18"/>
      <c r="D26" s="32"/>
      <c r="E26" s="33" t="s">
        <v>31</v>
      </c>
      <c r="F26" s="34"/>
      <c r="G26" s="34"/>
      <c r="H26" s="34"/>
      <c r="I26" s="34"/>
      <c r="J26" s="34"/>
      <c r="K26" s="35"/>
    </row>
    <row r="27" spans="3:11" s="17" customFormat="1" x14ac:dyDescent="0.25">
      <c r="C27" s="18"/>
      <c r="D27" s="20" t="s">
        <v>46</v>
      </c>
      <c r="E27" s="21" t="s">
        <v>47</v>
      </c>
      <c r="F27" s="22" t="s">
        <v>48</v>
      </c>
      <c r="G27" s="23">
        <f t="shared" si="0"/>
        <v>34333.019999999997</v>
      </c>
      <c r="H27" s="23">
        <f>H29+H30+H31</f>
        <v>0</v>
      </c>
      <c r="I27" s="23">
        <f>I28+I30+I31</f>
        <v>0</v>
      </c>
      <c r="J27" s="23">
        <f>J28+J29+J31</f>
        <v>18336.296999999999</v>
      </c>
      <c r="K27" s="23">
        <f>K28+K29+K30</f>
        <v>15996.722999999998</v>
      </c>
    </row>
    <row r="28" spans="3:11" s="17" customFormat="1" x14ac:dyDescent="0.25">
      <c r="C28" s="18"/>
      <c r="D28" s="20" t="s">
        <v>49</v>
      </c>
      <c r="E28" s="26" t="s">
        <v>18</v>
      </c>
      <c r="F28" s="22" t="s">
        <v>50</v>
      </c>
      <c r="G28" s="23">
        <f t="shared" si="0"/>
        <v>18336.296999999999</v>
      </c>
      <c r="H28" s="45"/>
      <c r="I28" s="27"/>
      <c r="J28" s="27">
        <f>H25</f>
        <v>18336.296999999999</v>
      </c>
      <c r="K28" s="27"/>
    </row>
    <row r="29" spans="3:11" s="17" customFormat="1" x14ac:dyDescent="0.25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</row>
    <row r="30" spans="3:11" s="17" customFormat="1" x14ac:dyDescent="0.25">
      <c r="C30" s="18"/>
      <c r="D30" s="20" t="s">
        <v>53</v>
      </c>
      <c r="E30" s="26" t="s">
        <v>20</v>
      </c>
      <c r="F30" s="22" t="s">
        <v>54</v>
      </c>
      <c r="G30" s="23">
        <f t="shared" si="0"/>
        <v>15996.722999999998</v>
      </c>
      <c r="H30" s="27"/>
      <c r="I30" s="27"/>
      <c r="J30" s="45"/>
      <c r="K30" s="27">
        <f>H25+J25-J36-J46</f>
        <v>15996.722999999998</v>
      </c>
    </row>
    <row r="31" spans="3:11" s="17" customFormat="1" x14ac:dyDescent="0.25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</row>
    <row r="32" spans="3:11" s="17" customFormat="1" x14ac:dyDescent="0.25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</row>
    <row r="33" spans="3:12" s="17" customFormat="1" x14ac:dyDescent="0.25">
      <c r="C33" s="18"/>
      <c r="D33" s="20" t="s">
        <v>61</v>
      </c>
      <c r="E33" s="21" t="s">
        <v>62</v>
      </c>
      <c r="F33" s="47" t="s">
        <v>63</v>
      </c>
      <c r="G33" s="23">
        <f t="shared" si="0"/>
        <v>16710.812000000002</v>
      </c>
      <c r="H33" s="23">
        <f>H34+H36+H39+H42</f>
        <v>0</v>
      </c>
      <c r="I33" s="23">
        <f>I34+I36+I39+I42</f>
        <v>0</v>
      </c>
      <c r="J33" s="23">
        <f>J34+J36+J39+J42</f>
        <v>2328.2139999999999</v>
      </c>
      <c r="K33" s="23">
        <f>K34+K36+K39+K42</f>
        <v>14382.598000000002</v>
      </c>
    </row>
    <row r="34" spans="3:12" s="17" customFormat="1" ht="22.5" x14ac:dyDescent="0.25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</row>
    <row r="35" spans="3:12" s="17" customFormat="1" x14ac:dyDescent="0.25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</row>
    <row r="36" spans="3:12" s="17" customFormat="1" x14ac:dyDescent="0.25">
      <c r="C36" s="18"/>
      <c r="D36" s="20" t="s">
        <v>70</v>
      </c>
      <c r="E36" s="26" t="s">
        <v>71</v>
      </c>
      <c r="F36" s="22" t="s">
        <v>72</v>
      </c>
      <c r="G36" s="23">
        <f t="shared" si="0"/>
        <v>16710.812000000002</v>
      </c>
      <c r="H36" s="27">
        <v>0</v>
      </c>
      <c r="I36" s="27">
        <v>0</v>
      </c>
      <c r="J36" s="42">
        <f>'1 пг'!J36+'2 пг'!J36</f>
        <v>2328.2139999999999</v>
      </c>
      <c r="K36" s="42">
        <f>'1 пг'!K36+'2 пг'!K36</f>
        <v>14382.598000000002</v>
      </c>
    </row>
    <row r="37" spans="3:12" s="17" customFormat="1" x14ac:dyDescent="0.25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</row>
    <row r="38" spans="3:12" s="17" customFormat="1" x14ac:dyDescent="0.25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</row>
    <row r="39" spans="3:12" s="17" customFormat="1" x14ac:dyDescent="0.25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</row>
    <row r="40" spans="3:12" s="17" customFormat="1" x14ac:dyDescent="0.25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</row>
    <row r="41" spans="3:12" s="17" customFormat="1" x14ac:dyDescent="0.25">
      <c r="C41" s="18"/>
      <c r="D41" s="50"/>
      <c r="E41" s="33" t="s">
        <v>31</v>
      </c>
      <c r="F41" s="34"/>
      <c r="G41" s="34"/>
      <c r="H41" s="34"/>
      <c r="I41" s="34"/>
      <c r="J41" s="34"/>
      <c r="K41" s="35"/>
    </row>
    <row r="42" spans="3:12" s="17" customFormat="1" x14ac:dyDescent="0.25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</row>
    <row r="43" spans="3:12" s="17" customFormat="1" x14ac:dyDescent="0.25">
      <c r="C43" s="18"/>
      <c r="D43" s="20" t="s">
        <v>85</v>
      </c>
      <c r="E43" s="21" t="s">
        <v>86</v>
      </c>
      <c r="F43" s="22" t="s">
        <v>87</v>
      </c>
      <c r="G43" s="23">
        <f t="shared" si="0"/>
        <v>34333.019999999997</v>
      </c>
      <c r="H43" s="27">
        <f>J28</f>
        <v>18336.296999999999</v>
      </c>
      <c r="I43" s="27"/>
      <c r="J43" s="27">
        <f>K30</f>
        <v>15996.722999999998</v>
      </c>
      <c r="K43" s="27"/>
    </row>
    <row r="44" spans="3:12" s="17" customFormat="1" x14ac:dyDescent="0.25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</row>
    <row r="45" spans="3:12" s="17" customFormat="1" x14ac:dyDescent="0.25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</row>
    <row r="46" spans="3:12" s="17" customFormat="1" x14ac:dyDescent="0.25">
      <c r="C46" s="18"/>
      <c r="D46" s="20" t="s">
        <v>94</v>
      </c>
      <c r="E46" s="21" t="s">
        <v>95</v>
      </c>
      <c r="F46" s="22" t="s">
        <v>96</v>
      </c>
      <c r="G46" s="23">
        <f t="shared" si="0"/>
        <v>1614.1249999999964</v>
      </c>
      <c r="H46" s="27"/>
      <c r="I46" s="27"/>
      <c r="J46" s="27"/>
      <c r="K46" s="27">
        <f>G25-G36</f>
        <v>1614.1249999999964</v>
      </c>
      <c r="L46" s="81" t="s">
        <v>331</v>
      </c>
    </row>
    <row r="47" spans="3:12" s="17" customFormat="1" x14ac:dyDescent="0.25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</row>
    <row r="48" spans="3:12" s="17" customFormat="1" x14ac:dyDescent="0.25">
      <c r="C48" s="18"/>
      <c r="D48" s="20" t="s">
        <v>100</v>
      </c>
      <c r="E48" s="21" t="s">
        <v>101</v>
      </c>
      <c r="F48" s="22" t="s">
        <v>102</v>
      </c>
      <c r="G48" s="23">
        <f t="shared" si="0"/>
        <v>744.6</v>
      </c>
      <c r="H48" s="27"/>
      <c r="I48" s="27"/>
      <c r="J48" s="42">
        <f>'1 пг'!J48+'2 пг'!J48</f>
        <v>0</v>
      </c>
      <c r="K48" s="42">
        <f>'1 пг'!K48+'2 пг'!K48</f>
        <v>744.6</v>
      </c>
    </row>
    <row r="49" spans="3:11" s="17" customFormat="1" ht="22.5" x14ac:dyDescent="0.25">
      <c r="C49" s="18"/>
      <c r="D49" s="20" t="s">
        <v>103</v>
      </c>
      <c r="E49" s="46" t="s">
        <v>104</v>
      </c>
      <c r="F49" s="22" t="s">
        <v>105</v>
      </c>
      <c r="G49" s="23">
        <f t="shared" si="0"/>
        <v>869.52499999999634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869.52499999999634</v>
      </c>
    </row>
    <row r="50" spans="3:11" s="17" customFormat="1" x14ac:dyDescent="0.25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</row>
    <row r="51" spans="3:11" s="17" customFormat="1" x14ac:dyDescent="0.25">
      <c r="C51" s="18"/>
      <c r="D51" s="90" t="s">
        <v>109</v>
      </c>
      <c r="E51" s="91"/>
      <c r="F51" s="91"/>
      <c r="G51" s="91"/>
      <c r="H51" s="91"/>
      <c r="I51" s="91"/>
      <c r="J51" s="91"/>
      <c r="K51" s="92"/>
    </row>
    <row r="52" spans="3:11" s="17" customFormat="1" x14ac:dyDescent="0.25">
      <c r="C52" s="18"/>
      <c r="D52" s="20" t="s">
        <v>110</v>
      </c>
      <c r="E52" s="21" t="s">
        <v>24</v>
      </c>
      <c r="F52" s="22" t="s">
        <v>111</v>
      </c>
      <c r="G52" s="23">
        <f t="shared" si="0"/>
        <v>3.0503012149999997</v>
      </c>
      <c r="H52" s="23">
        <f>H53+H54+H57+H60</f>
        <v>2.8746428816666665</v>
      </c>
      <c r="I52" s="23">
        <f>I53+I54+I57+I60</f>
        <v>0</v>
      </c>
      <c r="J52" s="23">
        <f>J53+J54+J57+J60</f>
        <v>0.17565833333333336</v>
      </c>
      <c r="K52" s="23">
        <f>K53+K54+K57+K60</f>
        <v>0</v>
      </c>
    </row>
    <row r="53" spans="3:11" s="17" customFormat="1" x14ac:dyDescent="0.25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</row>
    <row r="54" spans="3:11" s="17" customFormat="1" x14ac:dyDescent="0.25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</row>
    <row r="55" spans="3:11" s="17" customFormat="1" x14ac:dyDescent="0.25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</row>
    <row r="56" spans="3:11" s="17" customFormat="1" x14ac:dyDescent="0.25">
      <c r="C56" s="18"/>
      <c r="D56" s="32"/>
      <c r="E56" s="33" t="s">
        <v>31</v>
      </c>
      <c r="F56" s="34"/>
      <c r="G56" s="34"/>
      <c r="H56" s="34"/>
      <c r="I56" s="34"/>
      <c r="J56" s="34"/>
      <c r="K56" s="35"/>
    </row>
    <row r="57" spans="3:11" s="17" customFormat="1" x14ac:dyDescent="0.25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</row>
    <row r="58" spans="3:11" s="17" customFormat="1" x14ac:dyDescent="0.25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</row>
    <row r="59" spans="3:11" s="17" customFormat="1" x14ac:dyDescent="0.25">
      <c r="C59" s="18"/>
      <c r="D59" s="32"/>
      <c r="E59" s="33" t="s">
        <v>31</v>
      </c>
      <c r="F59" s="34"/>
      <c r="G59" s="34"/>
      <c r="H59" s="34"/>
      <c r="I59" s="34"/>
      <c r="J59" s="34"/>
      <c r="K59" s="35"/>
    </row>
    <row r="60" spans="3:11" s="17" customFormat="1" x14ac:dyDescent="0.25">
      <c r="C60" s="18"/>
      <c r="D60" s="20" t="s">
        <v>120</v>
      </c>
      <c r="E60" s="26" t="s">
        <v>37</v>
      </c>
      <c r="F60" s="22" t="s">
        <v>121</v>
      </c>
      <c r="G60" s="23">
        <f t="shared" si="0"/>
        <v>3.0503012149999997</v>
      </c>
      <c r="H60" s="23">
        <f>SUM(H61:H63)</f>
        <v>2.8746428816666665</v>
      </c>
      <c r="I60" s="23">
        <f>SUM(I61:I63)</f>
        <v>0</v>
      </c>
      <c r="J60" s="23">
        <f>SUM(J61:J63)</f>
        <v>0.17565833333333336</v>
      </c>
      <c r="K60" s="23">
        <f>SUM(K61:K63)</f>
        <v>0</v>
      </c>
    </row>
    <row r="61" spans="3:11" s="17" customFormat="1" x14ac:dyDescent="0.25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</row>
    <row r="62" spans="3:11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3.0503012149999997</v>
      </c>
      <c r="H62" s="42">
        <f>(январь!H62+февраль!H62+март!H62+апрель!H62+май!H62+июнь!H62+июль!H62+август!H62+сентябрь!H62+октябрь!H62+ноябрь!H62+декабрь!H62)/12</f>
        <v>2.8746428816666665</v>
      </c>
      <c r="I62" s="52">
        <v>0</v>
      </c>
      <c r="J62" s="42">
        <f>(январь!J62+февраль!J62+март!J62+апрель!J62+май!J62+июнь!J62+июль!J62+август!J62+сентябрь!J62+октябрь!J62+ноябрь!J62+декабрь!J62)/12</f>
        <v>0.17565833333333336</v>
      </c>
      <c r="K62" s="53">
        <v>0</v>
      </c>
    </row>
    <row r="63" spans="3:11" s="17" customFormat="1" x14ac:dyDescent="0.25">
      <c r="C63" s="18"/>
      <c r="D63" s="32"/>
      <c r="E63" s="33" t="s">
        <v>31</v>
      </c>
      <c r="F63" s="34"/>
      <c r="G63" s="34"/>
      <c r="H63" s="34"/>
      <c r="I63" s="34"/>
      <c r="J63" s="34"/>
      <c r="K63" s="35"/>
    </row>
    <row r="64" spans="3:11" s="17" customFormat="1" x14ac:dyDescent="0.25">
      <c r="C64" s="18"/>
      <c r="D64" s="20" t="s">
        <v>124</v>
      </c>
      <c r="E64" s="21" t="s">
        <v>47</v>
      </c>
      <c r="F64" s="22" t="s">
        <v>125</v>
      </c>
      <c r="G64" s="23">
        <f t="shared" si="0"/>
        <v>5.3952767633333334</v>
      </c>
      <c r="H64" s="23">
        <f>H66+H67+H68</f>
        <v>0</v>
      </c>
      <c r="I64" s="23">
        <f>I65+I67+I68</f>
        <v>0</v>
      </c>
      <c r="J64" s="23">
        <f>J65+J66+J68</f>
        <v>2.8746428816666665</v>
      </c>
      <c r="K64" s="23">
        <f>K65+K66+K67</f>
        <v>2.5206338816666665</v>
      </c>
    </row>
    <row r="65" spans="3:11" s="17" customFormat="1" x14ac:dyDescent="0.25">
      <c r="C65" s="18"/>
      <c r="D65" s="20" t="s">
        <v>126</v>
      </c>
      <c r="E65" s="26" t="s">
        <v>18</v>
      </c>
      <c r="F65" s="22" t="s">
        <v>127</v>
      </c>
      <c r="G65" s="23">
        <f t="shared" si="0"/>
        <v>2.8746428816666665</v>
      </c>
      <c r="H65" s="45"/>
      <c r="I65" s="27"/>
      <c r="J65" s="27">
        <f>H62</f>
        <v>2.8746428816666665</v>
      </c>
      <c r="K65" s="27"/>
    </row>
    <row r="66" spans="3:11" s="17" customFormat="1" x14ac:dyDescent="0.25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</row>
    <row r="67" spans="3:11" s="17" customFormat="1" x14ac:dyDescent="0.25">
      <c r="C67" s="18"/>
      <c r="D67" s="20" t="s">
        <v>130</v>
      </c>
      <c r="E67" s="26" t="s">
        <v>20</v>
      </c>
      <c r="F67" s="22" t="s">
        <v>131</v>
      </c>
      <c r="G67" s="23">
        <f t="shared" si="0"/>
        <v>2.5206338816666665</v>
      </c>
      <c r="H67" s="27"/>
      <c r="I67" s="27"/>
      <c r="J67" s="45"/>
      <c r="K67" s="27">
        <f>K73+K83</f>
        <v>2.5206338816666665</v>
      </c>
    </row>
    <row r="68" spans="3:11" s="17" customFormat="1" x14ac:dyDescent="0.25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</row>
    <row r="69" spans="3:11" s="17" customFormat="1" x14ac:dyDescent="0.25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</row>
    <row r="70" spans="3:11" s="17" customFormat="1" x14ac:dyDescent="0.25">
      <c r="C70" s="18"/>
      <c r="D70" s="20" t="s">
        <v>136</v>
      </c>
      <c r="E70" s="21" t="s">
        <v>62</v>
      </c>
      <c r="F70" s="47" t="s">
        <v>137</v>
      </c>
      <c r="G70" s="23">
        <f t="shared" si="0"/>
        <v>2.8475666666666668</v>
      </c>
      <c r="H70" s="23">
        <f>H71+H73+H76+H79</f>
        <v>0</v>
      </c>
      <c r="I70" s="23">
        <f>I71+I73+I76+I79</f>
        <v>0</v>
      </c>
      <c r="J70" s="23">
        <f>J71+J73+J76+J79</f>
        <v>0.52966733333333338</v>
      </c>
      <c r="K70" s="23">
        <f>K71+K73+K76+K79</f>
        <v>2.3178993333333335</v>
      </c>
    </row>
    <row r="71" spans="3:11" s="17" customFormat="1" ht="22.5" x14ac:dyDescent="0.25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</row>
    <row r="72" spans="3:11" s="17" customFormat="1" x14ac:dyDescent="0.25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</row>
    <row r="73" spans="3:11" s="17" customFormat="1" x14ac:dyDescent="0.25">
      <c r="C73" s="18"/>
      <c r="D73" s="20" t="s">
        <v>142</v>
      </c>
      <c r="E73" s="26" t="s">
        <v>71</v>
      </c>
      <c r="F73" s="22" t="s">
        <v>143</v>
      </c>
      <c r="G73" s="23">
        <f t="shared" si="0"/>
        <v>2.8475666666666668</v>
      </c>
      <c r="H73" s="27">
        <v>0</v>
      </c>
      <c r="I73" s="27">
        <v>0</v>
      </c>
      <c r="J73" s="42">
        <f>(январь!J73+февраль!J73+март!J73+апрель!J73+май!J73+июнь!J73+июль!J73+август!J73+сентябрь!J73+октябрь!J73+ноябрь!J73+декабрь!J73)/12</f>
        <v>0.52966733333333338</v>
      </c>
      <c r="K73" s="42">
        <f>(январь!K73+февраль!K73+март!K73+апрель!K73+май!K73+июнь!K73+июль!K73+август!K73+сентябрь!K73+октябрь!K73+ноябрь!K73+декабрь!K73)/12</f>
        <v>2.3178993333333335</v>
      </c>
    </row>
    <row r="74" spans="3:11" s="17" customFormat="1" x14ac:dyDescent="0.25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</row>
    <row r="75" spans="3:11" s="17" customFormat="1" x14ac:dyDescent="0.25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</row>
    <row r="76" spans="3:11" s="17" customFormat="1" x14ac:dyDescent="0.25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</row>
    <row r="77" spans="3:11" s="17" customFormat="1" x14ac:dyDescent="0.25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</row>
    <row r="78" spans="3:11" s="17" customFormat="1" x14ac:dyDescent="0.25">
      <c r="C78" s="18"/>
      <c r="D78" s="32"/>
      <c r="E78" s="33" t="s">
        <v>31</v>
      </c>
      <c r="F78" s="34"/>
      <c r="G78" s="34"/>
      <c r="H78" s="34"/>
      <c r="I78" s="34"/>
      <c r="J78" s="34"/>
      <c r="K78" s="35"/>
    </row>
    <row r="79" spans="3:11" s="17" customFormat="1" x14ac:dyDescent="0.25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</row>
    <row r="80" spans="3:11" s="17" customFormat="1" x14ac:dyDescent="0.25">
      <c r="C80" s="18"/>
      <c r="D80" s="20" t="s">
        <v>153</v>
      </c>
      <c r="E80" s="21" t="s">
        <v>86</v>
      </c>
      <c r="F80" s="22" t="s">
        <v>154</v>
      </c>
      <c r="G80" s="23">
        <f t="shared" si="0"/>
        <v>5.3952767633333334</v>
      </c>
      <c r="H80" s="27">
        <f>H62</f>
        <v>2.8746428816666665</v>
      </c>
      <c r="I80" s="27"/>
      <c r="J80" s="27">
        <f>K67</f>
        <v>2.5206338816666665</v>
      </c>
      <c r="K80" s="27"/>
    </row>
    <row r="81" spans="3:11" s="17" customFormat="1" x14ac:dyDescent="0.25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</row>
    <row r="82" spans="3:11" s="17" customFormat="1" x14ac:dyDescent="0.25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</row>
    <row r="83" spans="3:11" s="17" customFormat="1" x14ac:dyDescent="0.25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0.20273454833333293</v>
      </c>
      <c r="H83" s="27"/>
      <c r="I83" s="27"/>
      <c r="J83" s="27"/>
      <c r="K83" s="27">
        <f>G62-G73</f>
        <v>0.20273454833333293</v>
      </c>
    </row>
    <row r="84" spans="3:11" s="17" customFormat="1" x14ac:dyDescent="0.25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</row>
    <row r="85" spans="3:11" s="17" customFormat="1" x14ac:dyDescent="0.25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0.18165833333333334</v>
      </c>
      <c r="H85" s="27"/>
      <c r="I85" s="27"/>
      <c r="J85" s="42">
        <f>(январь!J85+февраль!J85+март!J85+апрель!J85+май!J85+июнь!J85+июль!J85+август!J85+сентябрь!J85+октябрь!J85+ноябрь!J85+декабрь!J85)/12</f>
        <v>0</v>
      </c>
      <c r="K85" s="42">
        <f>(январь!K85+февраль!K85+март!K85+апрель!K85+май!K85+июнь!K85+июль!K85+август!K85+сентябрь!K85+октябрь!K85+ноябрь!K85+декабрь!K85)/12</f>
        <v>0.18165833333333334</v>
      </c>
    </row>
    <row r="86" spans="3:11" s="17" customFormat="1" ht="22.5" x14ac:dyDescent="0.25">
      <c r="C86" s="18"/>
      <c r="D86" s="20" t="s">
        <v>166</v>
      </c>
      <c r="E86" s="46" t="s">
        <v>104</v>
      </c>
      <c r="F86" s="22" t="s">
        <v>167</v>
      </c>
      <c r="G86" s="23">
        <f t="shared" si="0"/>
        <v>2.1076214999999593E-2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2.1076214999999593E-2</v>
      </c>
    </row>
    <row r="87" spans="3:11" s="17" customFormat="1" x14ac:dyDescent="0.25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</row>
    <row r="88" spans="3:11" s="17" customFormat="1" x14ac:dyDescent="0.25">
      <c r="C88" s="18"/>
      <c r="D88" s="90" t="s">
        <v>170</v>
      </c>
      <c r="E88" s="91"/>
      <c r="F88" s="91"/>
      <c r="G88" s="91"/>
      <c r="H88" s="91"/>
      <c r="I88" s="91"/>
      <c r="J88" s="91"/>
      <c r="K88" s="92"/>
    </row>
    <row r="89" spans="3:11" s="17" customFormat="1" x14ac:dyDescent="0.25">
      <c r="C89" s="18"/>
      <c r="D89" s="20" t="s">
        <v>171</v>
      </c>
      <c r="E89" s="21" t="s">
        <v>172</v>
      </c>
      <c r="F89" s="22" t="s">
        <v>173</v>
      </c>
      <c r="G89" s="23">
        <f t="shared" si="0"/>
        <v>2.8475666666666668</v>
      </c>
      <c r="H89" s="27"/>
      <c r="I89" s="27"/>
      <c r="J89" s="42">
        <f>J73</f>
        <v>0.52966733333333338</v>
      </c>
      <c r="K89" s="42">
        <f>K73</f>
        <v>2.3178993333333335</v>
      </c>
    </row>
    <row r="90" spans="3:11" s="17" customFormat="1" x14ac:dyDescent="0.25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</row>
    <row r="91" spans="3:11" s="17" customFormat="1" x14ac:dyDescent="0.25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</row>
    <row r="92" spans="3:11" s="17" customFormat="1" x14ac:dyDescent="0.25">
      <c r="C92" s="18"/>
      <c r="D92" s="90" t="s">
        <v>180</v>
      </c>
      <c r="E92" s="91"/>
      <c r="F92" s="91"/>
      <c r="G92" s="91"/>
      <c r="H92" s="91"/>
      <c r="I92" s="91"/>
      <c r="J92" s="91"/>
      <c r="K92" s="92"/>
    </row>
    <row r="93" spans="3:11" s="17" customFormat="1" x14ac:dyDescent="0.25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</row>
    <row r="94" spans="3:11" x14ac:dyDescent="0.25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</row>
    <row r="95" spans="3:11" x14ac:dyDescent="0.25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</row>
    <row r="96" spans="3:11" x14ac:dyDescent="0.25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</row>
    <row r="97" spans="3:11" x14ac:dyDescent="0.25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</row>
    <row r="98" spans="3:11" x14ac:dyDescent="0.25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</row>
    <row r="99" spans="3:11" x14ac:dyDescent="0.25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</row>
    <row r="100" spans="3:11" x14ac:dyDescent="0.25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</row>
    <row r="101" spans="3:11" x14ac:dyDescent="0.25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</row>
    <row r="102" spans="3:11" x14ac:dyDescent="0.25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</row>
    <row r="103" spans="3:11" ht="33.75" x14ac:dyDescent="0.25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</row>
    <row r="104" spans="3:11" x14ac:dyDescent="0.25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</row>
    <row r="105" spans="3:11" x14ac:dyDescent="0.25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</row>
    <row r="106" spans="3:11" ht="33.75" x14ac:dyDescent="0.25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</row>
    <row r="107" spans="3:11" x14ac:dyDescent="0.25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</row>
    <row r="108" spans="3:11" x14ac:dyDescent="0.25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</row>
    <row r="109" spans="3:11" ht="22.5" x14ac:dyDescent="0.25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</row>
    <row r="110" spans="3:11" x14ac:dyDescent="0.25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</row>
    <row r="111" spans="3:11" x14ac:dyDescent="0.25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</row>
    <row r="112" spans="3:11" x14ac:dyDescent="0.25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</row>
    <row r="113" spans="3:11" x14ac:dyDescent="0.25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</row>
    <row r="114" spans="3:11" ht="33.75" x14ac:dyDescent="0.25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</row>
    <row r="115" spans="3:11" ht="22.5" x14ac:dyDescent="0.25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</row>
    <row r="116" spans="3:11" x14ac:dyDescent="0.25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</row>
    <row r="117" spans="3:11" x14ac:dyDescent="0.25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</row>
    <row r="118" spans="3:11" x14ac:dyDescent="0.25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</row>
    <row r="119" spans="3:11" x14ac:dyDescent="0.25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</row>
    <row r="120" spans="3:11" x14ac:dyDescent="0.25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16710.812000000002</v>
      </c>
      <c r="H120" s="57">
        <f>SUM(H121:H122)</f>
        <v>0</v>
      </c>
      <c r="I120" s="57">
        <f>SUM(I121:I122)</f>
        <v>0</v>
      </c>
      <c r="J120" s="57">
        <f>SUM(J121:J122)</f>
        <v>2328.2139999999999</v>
      </c>
      <c r="K120" s="57">
        <f>SUM(K121:K122)</f>
        <v>14382.598000000002</v>
      </c>
    </row>
    <row r="121" spans="3:11" x14ac:dyDescent="0.25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16710.812000000002</v>
      </c>
      <c r="H121" s="56"/>
      <c r="I121" s="56"/>
      <c r="J121" s="56">
        <f>J36</f>
        <v>2328.2139999999999</v>
      </c>
      <c r="K121" s="56">
        <f>K36</f>
        <v>14382.598000000002</v>
      </c>
    </row>
    <row r="122" spans="3:11" x14ac:dyDescent="0.25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</row>
    <row r="123" spans="3:11" x14ac:dyDescent="0.25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</row>
    <row r="124" spans="3:11" x14ac:dyDescent="0.25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</row>
    <row r="125" spans="3:11" x14ac:dyDescent="0.25">
      <c r="C125" s="6"/>
      <c r="D125" s="90" t="s">
        <v>268</v>
      </c>
      <c r="E125" s="91"/>
      <c r="F125" s="91"/>
      <c r="G125" s="91"/>
      <c r="H125" s="91"/>
      <c r="I125" s="91"/>
      <c r="J125" s="91"/>
      <c r="K125" s="92"/>
    </row>
    <row r="126" spans="3:11" ht="22.5" x14ac:dyDescent="0.25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</row>
    <row r="127" spans="3:11" x14ac:dyDescent="0.25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</row>
    <row r="128" spans="3:11" x14ac:dyDescent="0.25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</row>
    <row r="129" spans="3:11" x14ac:dyDescent="0.25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</row>
    <row r="130" spans="3:11" x14ac:dyDescent="0.25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</row>
    <row r="131" spans="3:11" x14ac:dyDescent="0.25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</row>
    <row r="132" spans="3:11" x14ac:dyDescent="0.25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</row>
    <row r="133" spans="3:11" x14ac:dyDescent="0.25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</row>
    <row r="134" spans="3:11" x14ac:dyDescent="0.25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</row>
    <row r="135" spans="3:11" x14ac:dyDescent="0.25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</row>
    <row r="136" spans="3:11" x14ac:dyDescent="0.25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</row>
    <row r="137" spans="3:11" x14ac:dyDescent="0.25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</row>
    <row r="138" spans="3:11" x14ac:dyDescent="0.25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</row>
    <row r="139" spans="3:11" x14ac:dyDescent="0.25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</row>
    <row r="140" spans="3:11" x14ac:dyDescent="0.25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</row>
    <row r="141" spans="3:11" x14ac:dyDescent="0.25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</row>
    <row r="142" spans="3:11" x14ac:dyDescent="0.25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24330.942271999997</v>
      </c>
      <c r="H142" s="64">
        <f>SUM( H143:H144)</f>
        <v>0</v>
      </c>
      <c r="I142" s="64">
        <f>SUM( I143:I144)</f>
        <v>0</v>
      </c>
      <c r="J142" s="64">
        <f>SUM( J143:J144)</f>
        <v>3389.8795839999993</v>
      </c>
      <c r="K142" s="64">
        <f>SUM( K143:K144)</f>
        <v>20941.062687999998</v>
      </c>
    </row>
    <row r="143" spans="3:11" x14ac:dyDescent="0.25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24330.942271999997</v>
      </c>
      <c r="H143" s="63"/>
      <c r="I143" s="63"/>
      <c r="J143" s="42">
        <f>'1 пг'!J143+'2 пг'!J143</f>
        <v>3389.8795839999993</v>
      </c>
      <c r="K143" s="42">
        <f>'1 пг'!K143+'2 пг'!K143</f>
        <v>20941.062687999998</v>
      </c>
    </row>
    <row r="144" spans="3:11" x14ac:dyDescent="0.25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</row>
    <row r="145" spans="3:11" x14ac:dyDescent="0.25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</row>
    <row r="146" spans="3:11" x14ac:dyDescent="0.25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</row>
    <row r="147" spans="3:11" x14ac:dyDescent="0.25">
      <c r="D147" s="11"/>
      <c r="E147" s="67"/>
      <c r="F147" s="67"/>
      <c r="G147" s="67"/>
      <c r="H147" s="67"/>
      <c r="I147" s="67"/>
      <c r="J147" s="67"/>
      <c r="K147" s="68"/>
    </row>
    <row r="148" spans="3:11" ht="12.75" x14ac:dyDescent="0.2">
      <c r="E148" s="24" t="s">
        <v>320</v>
      </c>
      <c r="F148" s="83" t="str">
        <f>IF([1]Титульный!G45="","",[1]Титульный!G45)</f>
        <v>Коммерческий директор</v>
      </c>
      <c r="G148" s="83"/>
      <c r="H148" s="70"/>
      <c r="I148" s="83" t="str">
        <f>IF([1]Титульный!G44="","",[1]Титульный!G44)</f>
        <v>Байков Алексей Александрович</v>
      </c>
      <c r="J148" s="83"/>
      <c r="K148" s="83"/>
    </row>
    <row r="149" spans="3:11" ht="12.75" x14ac:dyDescent="0.2">
      <c r="E149" s="73" t="s">
        <v>321</v>
      </c>
      <c r="F149" s="93" t="s">
        <v>322</v>
      </c>
      <c r="G149" s="93"/>
      <c r="H149" s="72"/>
      <c r="I149" s="93" t="s">
        <v>323</v>
      </c>
      <c r="J149" s="93"/>
      <c r="K149" s="93"/>
    </row>
    <row r="150" spans="3:11" ht="12.75" x14ac:dyDescent="0.2">
      <c r="E150" s="73" t="s">
        <v>325</v>
      </c>
      <c r="F150" s="24"/>
      <c r="G150" s="24"/>
      <c r="H150" s="24"/>
      <c r="I150" s="24"/>
      <c r="J150" s="24"/>
      <c r="K150" s="24"/>
    </row>
    <row r="151" spans="3:11" ht="12.75" x14ac:dyDescent="0.2">
      <c r="E151" s="73" t="s">
        <v>326</v>
      </c>
      <c r="F151" s="83" t="str">
        <f>IF([1]Титульный!G46="","",[1]Титульный!G46)</f>
        <v>(495) 637 3220</v>
      </c>
      <c r="G151" s="83"/>
      <c r="H151" s="83"/>
      <c r="I151" s="24"/>
      <c r="J151" s="73" t="s">
        <v>327</v>
      </c>
      <c r="K151" s="76"/>
    </row>
    <row r="152" spans="3:11" ht="12.75" x14ac:dyDescent="0.2">
      <c r="E152" s="24" t="s">
        <v>328</v>
      </c>
      <c r="F152" s="94" t="s">
        <v>329</v>
      </c>
      <c r="G152" s="94"/>
      <c r="H152" s="94"/>
      <c r="I152" s="24"/>
      <c r="J152" s="75" t="s">
        <v>330</v>
      </c>
      <c r="K152" s="75"/>
    </row>
    <row r="153" spans="3:11" x14ac:dyDescent="0.25">
      <c r="E153" s="68"/>
      <c r="F153" s="68"/>
      <c r="G153" s="68"/>
      <c r="H153" s="68"/>
      <c r="I153" s="68"/>
      <c r="J153" s="68"/>
      <c r="K153" s="68"/>
    </row>
    <row r="154" spans="3:11" x14ac:dyDescent="0.25">
      <c r="E154" s="68"/>
      <c r="F154" s="68"/>
      <c r="G154" s="68"/>
      <c r="H154" s="68"/>
      <c r="I154" s="68"/>
      <c r="J154" s="68"/>
      <c r="K154" s="68"/>
    </row>
    <row r="155" spans="3:11" x14ac:dyDescent="0.25">
      <c r="E155" s="68"/>
      <c r="F155" s="68"/>
      <c r="G155" s="68"/>
      <c r="H155" s="68"/>
      <c r="I155" s="68"/>
      <c r="J155" s="68"/>
      <c r="K155" s="68"/>
    </row>
    <row r="156" spans="3:11" x14ac:dyDescent="0.25">
      <c r="E156" s="68"/>
      <c r="F156" s="68"/>
      <c r="G156" s="68"/>
      <c r="H156" s="68"/>
      <c r="I156" s="68"/>
      <c r="J156" s="68"/>
      <c r="K156" s="68"/>
    </row>
    <row r="157" spans="3:11" x14ac:dyDescent="0.25">
      <c r="E157" s="68"/>
      <c r="F157" s="68"/>
      <c r="G157" s="68"/>
      <c r="H157" s="68"/>
      <c r="I157" s="68"/>
      <c r="J157" s="68"/>
      <c r="K157" s="68"/>
    </row>
    <row r="158" spans="3:11" x14ac:dyDescent="0.25">
      <c r="E158" s="68"/>
      <c r="F158" s="68"/>
      <c r="G158" s="68"/>
      <c r="H158" s="68"/>
      <c r="I158" s="68"/>
      <c r="J158" s="68"/>
      <c r="K158" s="68"/>
    </row>
    <row r="159" spans="3:11" x14ac:dyDescent="0.25">
      <c r="E159" s="68"/>
      <c r="F159" s="68"/>
      <c r="G159" s="68"/>
      <c r="H159" s="68"/>
      <c r="I159" s="68"/>
      <c r="J159" s="68"/>
      <c r="K159" s="68"/>
    </row>
    <row r="160" spans="3:11" x14ac:dyDescent="0.25">
      <c r="E160" s="68"/>
      <c r="F160" s="68"/>
      <c r="G160" s="68"/>
      <c r="H160" s="68"/>
      <c r="I160" s="68"/>
      <c r="J160" s="68"/>
      <c r="K160" s="68"/>
    </row>
    <row r="161" spans="5:11" x14ac:dyDescent="0.25">
      <c r="E161" s="68"/>
      <c r="F161" s="68"/>
      <c r="G161" s="68"/>
      <c r="H161" s="68"/>
      <c r="I161" s="68"/>
      <c r="J161" s="68"/>
      <c r="K161" s="68"/>
    </row>
    <row r="162" spans="5:11" x14ac:dyDescent="0.25">
      <c r="E162" s="68"/>
      <c r="F162" s="68"/>
      <c r="G162" s="68"/>
      <c r="H162" s="68"/>
      <c r="I162" s="68"/>
      <c r="J162" s="68"/>
      <c r="K162" s="68"/>
    </row>
    <row r="163" spans="5:11" x14ac:dyDescent="0.25">
      <c r="E163" s="68"/>
      <c r="F163" s="68"/>
      <c r="G163" s="68"/>
      <c r="H163" s="68"/>
      <c r="I163" s="68"/>
      <c r="J163" s="68"/>
      <c r="K163" s="68"/>
    </row>
    <row r="164" spans="5:11" x14ac:dyDescent="0.25">
      <c r="E164" s="68"/>
      <c r="F164" s="68"/>
      <c r="G164" s="68"/>
      <c r="H164" s="68"/>
      <c r="I164" s="68"/>
      <c r="J164" s="68"/>
      <c r="K164" s="68"/>
    </row>
    <row r="165" spans="5:11" x14ac:dyDescent="0.25">
      <c r="E165" s="68"/>
      <c r="F165" s="68"/>
      <c r="G165" s="68"/>
      <c r="H165" s="68"/>
      <c r="I165" s="68"/>
      <c r="J165" s="68"/>
      <c r="K165" s="68"/>
    </row>
    <row r="166" spans="5:11" x14ac:dyDescent="0.25">
      <c r="E166" s="68"/>
      <c r="F166" s="68"/>
      <c r="G166" s="68"/>
      <c r="H166" s="68"/>
      <c r="I166" s="68"/>
      <c r="J166" s="68"/>
      <c r="K166" s="68"/>
    </row>
    <row r="167" spans="5:11" x14ac:dyDescent="0.25">
      <c r="E167" s="68"/>
      <c r="F167" s="68"/>
      <c r="G167" s="68"/>
      <c r="H167" s="68"/>
      <c r="I167" s="68"/>
      <c r="J167" s="68"/>
      <c r="K167" s="68"/>
    </row>
    <row r="168" spans="5:11" x14ac:dyDescent="0.25">
      <c r="E168" s="68"/>
      <c r="F168" s="68"/>
      <c r="G168" s="68"/>
      <c r="H168" s="68"/>
      <c r="I168" s="68"/>
      <c r="J168" s="68"/>
      <c r="K168" s="68"/>
    </row>
    <row r="169" spans="5:11" x14ac:dyDescent="0.25">
      <c r="E169" s="68"/>
      <c r="F169" s="68"/>
      <c r="G169" s="68"/>
      <c r="H169" s="68"/>
      <c r="I169" s="68"/>
      <c r="J169" s="68"/>
      <c r="K169" s="68"/>
    </row>
    <row r="170" spans="5:11" x14ac:dyDescent="0.25">
      <c r="E170" s="68"/>
      <c r="F170" s="68"/>
      <c r="G170" s="68"/>
      <c r="H170" s="68"/>
      <c r="I170" s="68"/>
      <c r="J170" s="68"/>
      <c r="K170" s="68"/>
    </row>
    <row r="171" spans="5:11" x14ac:dyDescent="0.25">
      <c r="E171" s="68"/>
      <c r="F171" s="68"/>
      <c r="G171" s="68"/>
      <c r="H171" s="68"/>
      <c r="I171" s="68"/>
      <c r="J171" s="68"/>
      <c r="K171" s="68"/>
    </row>
    <row r="172" spans="5:11" x14ac:dyDescent="0.25">
      <c r="E172" s="68"/>
      <c r="F172" s="68"/>
      <c r="G172" s="68"/>
      <c r="H172" s="68"/>
      <c r="I172" s="68"/>
      <c r="J172" s="68"/>
      <c r="K172" s="68"/>
    </row>
    <row r="173" spans="5:11" x14ac:dyDescent="0.25">
      <c r="E173" s="68"/>
      <c r="F173" s="68"/>
      <c r="G173" s="68"/>
      <c r="H173" s="68"/>
      <c r="I173" s="68"/>
      <c r="J173" s="68"/>
      <c r="K173" s="68"/>
    </row>
    <row r="174" spans="5:11" x14ac:dyDescent="0.25">
      <c r="E174" s="68"/>
      <c r="F174" s="68"/>
      <c r="G174" s="68"/>
      <c r="H174" s="68"/>
      <c r="I174" s="68"/>
      <c r="J174" s="68"/>
      <c r="K174" s="68"/>
    </row>
    <row r="175" spans="5:11" x14ac:dyDescent="0.25">
      <c r="E175" s="68"/>
      <c r="F175" s="68"/>
      <c r="G175" s="68"/>
      <c r="H175" s="68"/>
      <c r="I175" s="68"/>
      <c r="J175" s="68"/>
      <c r="K175" s="68"/>
    </row>
    <row r="176" spans="5:11" x14ac:dyDescent="0.25">
      <c r="E176" s="68"/>
      <c r="F176" s="68"/>
      <c r="G176" s="68"/>
      <c r="H176" s="68"/>
      <c r="I176" s="68"/>
      <c r="J176" s="68"/>
      <c r="K176" s="68"/>
    </row>
    <row r="177" spans="5:11" x14ac:dyDescent="0.25">
      <c r="E177" s="68"/>
      <c r="F177" s="68"/>
      <c r="G177" s="68"/>
      <c r="H177" s="68"/>
      <c r="I177" s="68"/>
      <c r="J177" s="68"/>
      <c r="K177" s="68"/>
    </row>
    <row r="178" spans="5:11" x14ac:dyDescent="0.25">
      <c r="E178" s="69"/>
      <c r="F178" s="69"/>
      <c r="G178" s="69"/>
      <c r="H178" s="69"/>
      <c r="I178" s="69"/>
      <c r="J178" s="69"/>
      <c r="K178" s="69"/>
    </row>
    <row r="179" spans="5:11" x14ac:dyDescent="0.25">
      <c r="E179" s="69"/>
      <c r="F179" s="69"/>
      <c r="G179" s="69"/>
      <c r="H179" s="69"/>
      <c r="I179" s="69"/>
      <c r="J179" s="69"/>
      <c r="K179" s="69"/>
    </row>
    <row r="180" spans="5:11" x14ac:dyDescent="0.25">
      <c r="E180" s="69"/>
      <c r="F180" s="69"/>
      <c r="G180" s="69"/>
      <c r="H180" s="69"/>
      <c r="I180" s="69"/>
      <c r="J180" s="69"/>
      <c r="K180" s="69"/>
    </row>
    <row r="181" spans="5:11" x14ac:dyDescent="0.25">
      <c r="E181" s="69"/>
      <c r="F181" s="69"/>
      <c r="G181" s="69"/>
      <c r="H181" s="69"/>
      <c r="I181" s="69"/>
      <c r="J181" s="69"/>
      <c r="K181" s="69"/>
    </row>
  </sheetData>
  <mergeCells count="17">
    <mergeCell ref="F149:G149"/>
    <mergeCell ref="I149:K149"/>
    <mergeCell ref="F151:H151"/>
    <mergeCell ref="F152:H152"/>
    <mergeCell ref="F148:G148"/>
    <mergeCell ref="I148:K148"/>
    <mergeCell ref="D8:E8"/>
    <mergeCell ref="D11:D12"/>
    <mergeCell ref="E11:E12"/>
    <mergeCell ref="F11:F12"/>
    <mergeCell ref="G11:G12"/>
    <mergeCell ref="D125:K125"/>
    <mergeCell ref="H11:K11"/>
    <mergeCell ref="D14:K14"/>
    <mergeCell ref="D51:K51"/>
    <mergeCell ref="D88:K88"/>
    <mergeCell ref="D92:K92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60:K62 G89:K91 G93:K124 G52:K55 G27:K40 G126:K146 G20:K21 G23:K25 G64:K77 G15:K18 G42:K50 G57:K58 G79:K87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="60" zoomScaleNormal="100" workbookViewId="0">
      <selection activeCell="G9" sqref="G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t="11.25" hidden="1" customHeight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t="11.25" hidden="1" customHeight="1" x14ac:dyDescent="0.25"/>
    <row r="3" spans="1:77" ht="11.25" hidden="1" customHeight="1" x14ac:dyDescent="0.25"/>
    <row r="4" spans="1:77" ht="11.25" hidden="1" customHeight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t="11.25" hidden="1" customHeight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t="11.25" hidden="1" customHeight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4" t="s">
        <v>11</v>
      </c>
      <c r="E8" s="84"/>
      <c r="F8" s="9"/>
      <c r="G8" s="9" t="s">
        <v>333</v>
      </c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5" t="s">
        <v>13</v>
      </c>
      <c r="E11" s="87" t="s">
        <v>14</v>
      </c>
      <c r="F11" s="87" t="s">
        <v>15</v>
      </c>
      <c r="G11" s="87" t="s">
        <v>16</v>
      </c>
      <c r="H11" s="87" t="s">
        <v>17</v>
      </c>
      <c r="I11" s="87"/>
      <c r="J11" s="87"/>
      <c r="K11" s="89"/>
      <c r="L11" s="13"/>
    </row>
    <row r="12" spans="1:77" ht="15" customHeight="1" x14ac:dyDescent="0.25">
      <c r="C12" s="6"/>
      <c r="D12" s="86"/>
      <c r="E12" s="88"/>
      <c r="F12" s="88"/>
      <c r="G12" s="88"/>
      <c r="H12" s="79" t="s">
        <v>18</v>
      </c>
      <c r="I12" s="79" t="s">
        <v>19</v>
      </c>
      <c r="J12" s="79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90" t="s">
        <v>22</v>
      </c>
      <c r="E14" s="91"/>
      <c r="F14" s="91"/>
      <c r="G14" s="91"/>
      <c r="H14" s="91"/>
      <c r="I14" s="91"/>
      <c r="J14" s="91"/>
      <c r="K14" s="92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1682.0129999999999</v>
      </c>
      <c r="H15" s="23">
        <f>H16+H17+H20+H23</f>
        <v>1682.0129999999999</v>
      </c>
      <c r="I15" s="23">
        <f>I16+I17+I20+I23</f>
        <v>0</v>
      </c>
      <c r="J15" s="23">
        <f>J16+J17+J20+J23</f>
        <v>0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1682.0129999999999</v>
      </c>
      <c r="H23" s="23">
        <f>SUM(H24:H26)</f>
        <v>1682.0129999999999</v>
      </c>
      <c r="I23" s="23">
        <f>SUM(I24:I26)</f>
        <v>0</v>
      </c>
      <c r="J23" s="23">
        <f>SUM(J24:J26)</f>
        <v>0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1682.0129999999999</v>
      </c>
      <c r="H25" s="42">
        <v>1682.0129999999999</v>
      </c>
      <c r="I25" s="42">
        <v>0</v>
      </c>
      <c r="J25" s="42"/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3109.0360000000001</v>
      </c>
      <c r="H27" s="23">
        <f>H29+H30+H31</f>
        <v>0</v>
      </c>
      <c r="I27" s="23">
        <f>I28+I30+I31</f>
        <v>0</v>
      </c>
      <c r="J27" s="23">
        <f>J28+J29+J31</f>
        <v>1682.0129999999999</v>
      </c>
      <c r="K27" s="23">
        <f>K28+K29+K30</f>
        <v>1427.0229999999999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1682.0129999999999</v>
      </c>
      <c r="H28" s="45"/>
      <c r="I28" s="27"/>
      <c r="J28" s="27">
        <f>H25</f>
        <v>1682.0129999999999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1427.0229999999999</v>
      </c>
      <c r="H30" s="27"/>
      <c r="I30" s="27"/>
      <c r="J30" s="45"/>
      <c r="K30" s="27">
        <f>H25+J25-J36-J46</f>
        <v>1427.0229999999999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1702.212</v>
      </c>
      <c r="H33" s="23">
        <f>H34+H36+H39+H42</f>
        <v>0</v>
      </c>
      <c r="I33" s="23">
        <f>I34+I36+I39+I42</f>
        <v>0</v>
      </c>
      <c r="J33" s="23">
        <f>J34+J36+J39+J42</f>
        <v>254.99</v>
      </c>
      <c r="K33" s="23">
        <f>K34+K36+K39+K42</f>
        <v>1447.222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1702.212</v>
      </c>
      <c r="H36" s="27">
        <v>0</v>
      </c>
      <c r="I36" s="27">
        <v>0</v>
      </c>
      <c r="J36" s="27">
        <v>254.99</v>
      </c>
      <c r="K36" s="27">
        <v>1447.222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3109.0360000000001</v>
      </c>
      <c r="H43" s="27">
        <f>J28</f>
        <v>1682.0129999999999</v>
      </c>
      <c r="I43" s="27"/>
      <c r="J43" s="27">
        <f>K30</f>
        <v>1427.0229999999999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0</v>
      </c>
      <c r="H46" s="27"/>
      <c r="I46" s="27"/>
      <c r="J46" s="27"/>
      <c r="K46" s="27"/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132.5</v>
      </c>
      <c r="H48" s="27"/>
      <c r="I48" s="27"/>
      <c r="J48" s="27"/>
      <c r="K48" s="27">
        <f>0.1325*1000</f>
        <v>132.5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-132.5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-132.5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-20.199000000000069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-20.199000000000069</v>
      </c>
      <c r="L50" s="19"/>
      <c r="M50" s="24"/>
      <c r="P50" s="25">
        <v>210</v>
      </c>
    </row>
    <row r="51" spans="3:16" s="17" customFormat="1" ht="12.75" x14ac:dyDescent="0.2">
      <c r="C51" s="18"/>
      <c r="D51" s="90" t="s">
        <v>109</v>
      </c>
      <c r="E51" s="91"/>
      <c r="F51" s="91"/>
      <c r="G51" s="91"/>
      <c r="H51" s="91"/>
      <c r="I51" s="91"/>
      <c r="J51" s="91"/>
      <c r="K51" s="92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4.8079000000000001</v>
      </c>
      <c r="H52" s="23">
        <f>H53+H54+H57+H60</f>
        <v>3.8</v>
      </c>
      <c r="I52" s="23">
        <f>I53+I54+I57+I60</f>
        <v>0</v>
      </c>
      <c r="J52" s="23">
        <f>J53+J54+J57+J60</f>
        <v>1.0079000000000002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4.8079000000000001</v>
      </c>
      <c r="H60" s="23">
        <f>SUM(H61:H63)</f>
        <v>3.8</v>
      </c>
      <c r="I60" s="23">
        <f>SUM(I61:I63)</f>
        <v>0</v>
      </c>
      <c r="J60" s="23">
        <f>SUM(J61:J63)</f>
        <v>1.0079000000000002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4.8079000000000001</v>
      </c>
      <c r="H62" s="52">
        <v>3.8</v>
      </c>
      <c r="I62" s="52">
        <v>0</v>
      </c>
      <c r="J62" s="52">
        <f>4.8079-H62</f>
        <v>1.0079000000000002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7.504092</v>
      </c>
      <c r="H64" s="23">
        <f>H66+H67+H68</f>
        <v>0</v>
      </c>
      <c r="I64" s="23">
        <f>I65+I67+I68</f>
        <v>0</v>
      </c>
      <c r="J64" s="23">
        <f>J65+J66+J68</f>
        <v>3.8</v>
      </c>
      <c r="K64" s="23">
        <f>K65+K66+K67</f>
        <v>3.7040920000000002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3.8</v>
      </c>
      <c r="H65" s="45"/>
      <c r="I65" s="27"/>
      <c r="J65" s="27">
        <f>H62</f>
        <v>3.8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3.7040920000000002</v>
      </c>
      <c r="H67" s="27"/>
      <c r="I67" s="27"/>
      <c r="J67" s="45"/>
      <c r="K67" s="27">
        <f>K73+K83</f>
        <v>3.7040920000000002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4.5991999999999997</v>
      </c>
      <c r="H70" s="23">
        <f>H71+H73+H76+H79</f>
        <v>0</v>
      </c>
      <c r="I70" s="23">
        <f>I71+I73+I76+I79</f>
        <v>0</v>
      </c>
      <c r="J70" s="23">
        <f>J71+J73+J76+J79</f>
        <v>1.1038079999999999</v>
      </c>
      <c r="K70" s="23">
        <f>K71+K73+K76+K79</f>
        <v>3.4953919999999998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4.5991999999999997</v>
      </c>
      <c r="H73" s="27">
        <v>0</v>
      </c>
      <c r="I73" s="27">
        <v>0</v>
      </c>
      <c r="J73" s="27">
        <f>4.5992*0.24</f>
        <v>1.1038079999999999</v>
      </c>
      <c r="K73" s="27">
        <f>4.5992-J73</f>
        <v>3.4953919999999998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7.504092</v>
      </c>
      <c r="H80" s="27">
        <f>H62</f>
        <v>3.8</v>
      </c>
      <c r="I80" s="27"/>
      <c r="J80" s="27">
        <f>K67</f>
        <v>3.7040920000000002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0.20870000000000033</v>
      </c>
      <c r="H83" s="27"/>
      <c r="I83" s="27"/>
      <c r="J83" s="27"/>
      <c r="K83" s="27">
        <f>G62-G73</f>
        <v>0.20870000000000033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0.2087</v>
      </c>
      <c r="H85" s="27"/>
      <c r="I85" s="27"/>
      <c r="J85" s="27"/>
      <c r="K85" s="27">
        <v>0.2087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3.3306690738754696E-16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3.3306690738754696E-16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90" t="s">
        <v>170</v>
      </c>
      <c r="E88" s="91"/>
      <c r="F88" s="91"/>
      <c r="G88" s="91"/>
      <c r="H88" s="91"/>
      <c r="I88" s="91"/>
      <c r="J88" s="91"/>
      <c r="K88" s="92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4.5991999999999997</v>
      </c>
      <c r="H89" s="27"/>
      <c r="I89" s="27"/>
      <c r="J89" s="42">
        <f>J73</f>
        <v>1.1038079999999999</v>
      </c>
      <c r="K89" s="42">
        <f>K73</f>
        <v>3.4953919999999998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90" t="s">
        <v>180</v>
      </c>
      <c r="E92" s="91"/>
      <c r="F92" s="91"/>
      <c r="G92" s="91"/>
      <c r="H92" s="91"/>
      <c r="I92" s="91"/>
      <c r="J92" s="91"/>
      <c r="K92" s="92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1702.212</v>
      </c>
      <c r="H120" s="57">
        <f>SUM(H121:H122)</f>
        <v>0</v>
      </c>
      <c r="I120" s="57">
        <f>SUM(I121:I122)</f>
        <v>0</v>
      </c>
      <c r="J120" s="57">
        <f>SUM(J121:J122)</f>
        <v>254.99</v>
      </c>
      <c r="K120" s="57">
        <f>SUM(K121:K122)</f>
        <v>1447.222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1702.212</v>
      </c>
      <c r="H121" s="56"/>
      <c r="I121" s="56"/>
      <c r="J121" s="56">
        <f>J36</f>
        <v>254.99</v>
      </c>
      <c r="K121" s="56">
        <f>K36</f>
        <v>1447.222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90" t="s">
        <v>268</v>
      </c>
      <c r="E125" s="91"/>
      <c r="F125" s="91"/>
      <c r="G125" s="91"/>
      <c r="H125" s="91"/>
      <c r="I125" s="91"/>
      <c r="J125" s="91"/>
      <c r="K125" s="92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2565.2334839999999</v>
      </c>
      <c r="H142" s="64">
        <f>SUM( H143:H144)</f>
        <v>0</v>
      </c>
      <c r="I142" s="64">
        <f>SUM( I143:I144)</f>
        <v>0</v>
      </c>
      <c r="J142" s="64">
        <f>SUM( J143:J144)</f>
        <v>384.26992999999999</v>
      </c>
      <c r="K142" s="64">
        <f>SUM( K143:K144)</f>
        <v>2180.9635539999999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2565.2334839999999</v>
      </c>
      <c r="H143" s="63"/>
      <c r="I143" s="63"/>
      <c r="J143" s="65">
        <f>J121*1.507</f>
        <v>384.26992999999999</v>
      </c>
      <c r="K143" s="65">
        <f>K121*1.507</f>
        <v>2180.9635539999999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83" t="str">
        <f>IF([4]Титульный!G45="","",[4]Титульный!G45)</f>
        <v>Коммерческий директор</v>
      </c>
      <c r="G148" s="83"/>
      <c r="H148" s="70"/>
      <c r="I148" s="83" t="str">
        <f>IF([5]Титульный!G44="","",[5]Титульный!G44)</f>
        <v>Байков Алексей Александрович</v>
      </c>
      <c r="J148" s="83"/>
      <c r="K148" s="83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93" t="s">
        <v>322</v>
      </c>
      <c r="G149" s="93"/>
      <c r="H149" s="72"/>
      <c r="I149" s="93" t="s">
        <v>323</v>
      </c>
      <c r="J149" s="93"/>
      <c r="K149" s="93"/>
      <c r="L149" s="72"/>
      <c r="M149" s="93" t="s">
        <v>324</v>
      </c>
      <c r="N149" s="93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83" t="str">
        <f>IF([4]Титульный!G46="","",[4]Титульный!G46)</f>
        <v>(495) 637 3220</v>
      </c>
      <c r="G151" s="83"/>
      <c r="H151" s="83"/>
      <c r="I151" s="24"/>
      <c r="J151" s="73" t="s">
        <v>327</v>
      </c>
      <c r="K151" s="78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94" t="s">
        <v>329</v>
      </c>
      <c r="G152" s="94"/>
      <c r="H152" s="94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9:G149"/>
    <mergeCell ref="I149:K149"/>
    <mergeCell ref="M149:N149"/>
    <mergeCell ref="F151:H151"/>
    <mergeCell ref="F152:H152"/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="60" zoomScaleNormal="100" workbookViewId="0">
      <selection activeCell="G9" sqref="G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t="11.25" hidden="1" customHeight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t="11.25" hidden="1" customHeight="1" x14ac:dyDescent="0.25"/>
    <row r="3" spans="1:77" ht="11.25" hidden="1" customHeight="1" x14ac:dyDescent="0.25"/>
    <row r="4" spans="1:77" ht="11.25" hidden="1" customHeight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t="11.25" hidden="1" customHeight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t="11.25" hidden="1" customHeight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4" t="s">
        <v>11</v>
      </c>
      <c r="E8" s="84"/>
      <c r="F8" s="9"/>
      <c r="G8" s="9" t="s">
        <v>334</v>
      </c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5" t="s">
        <v>13</v>
      </c>
      <c r="E11" s="87" t="s">
        <v>14</v>
      </c>
      <c r="F11" s="87" t="s">
        <v>15</v>
      </c>
      <c r="G11" s="87" t="s">
        <v>16</v>
      </c>
      <c r="H11" s="87" t="s">
        <v>17</v>
      </c>
      <c r="I11" s="87"/>
      <c r="J11" s="87"/>
      <c r="K11" s="89"/>
      <c r="L11" s="13"/>
    </row>
    <row r="12" spans="1:77" ht="15" customHeight="1" x14ac:dyDescent="0.25">
      <c r="C12" s="6"/>
      <c r="D12" s="86"/>
      <c r="E12" s="88"/>
      <c r="F12" s="88"/>
      <c r="G12" s="88"/>
      <c r="H12" s="79" t="s">
        <v>18</v>
      </c>
      <c r="I12" s="79" t="s">
        <v>19</v>
      </c>
      <c r="J12" s="79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90" t="s">
        <v>22</v>
      </c>
      <c r="E14" s="91"/>
      <c r="F14" s="91"/>
      <c r="G14" s="91"/>
      <c r="H14" s="91"/>
      <c r="I14" s="91"/>
      <c r="J14" s="91"/>
      <c r="K14" s="92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1625.5719999999999</v>
      </c>
      <c r="H15" s="23">
        <f>H16+H17+H20+H23</f>
        <v>1625.5719999999999</v>
      </c>
      <c r="I15" s="23">
        <f>I16+I17+I20+I23</f>
        <v>0</v>
      </c>
      <c r="J15" s="23">
        <f>J16+J17+J20+J23</f>
        <v>0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1625.5719999999999</v>
      </c>
      <c r="H23" s="23">
        <f>SUM(H24:H26)</f>
        <v>1625.5719999999999</v>
      </c>
      <c r="I23" s="23">
        <f>SUM(I24:I26)</f>
        <v>0</v>
      </c>
      <c r="J23" s="23">
        <f>SUM(J24:J26)</f>
        <v>0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1625.5719999999999</v>
      </c>
      <c r="H25" s="42">
        <v>1625.5719999999999</v>
      </c>
      <c r="I25" s="42">
        <v>0</v>
      </c>
      <c r="J25" s="42"/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3042.8679999999995</v>
      </c>
      <c r="H27" s="23">
        <f>H29+H30+H31</f>
        <v>0</v>
      </c>
      <c r="I27" s="23">
        <f>I28+I30+I31</f>
        <v>0</v>
      </c>
      <c r="J27" s="23">
        <f>J28+J29+J31</f>
        <v>1625.5719999999999</v>
      </c>
      <c r="K27" s="23">
        <f>K28+K29+K30</f>
        <v>1417.2959999999998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1625.5719999999999</v>
      </c>
      <c r="H28" s="45"/>
      <c r="I28" s="27"/>
      <c r="J28" s="27">
        <f>H25</f>
        <v>1625.5719999999999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1417.2959999999998</v>
      </c>
      <c r="H30" s="27"/>
      <c r="I30" s="27"/>
      <c r="J30" s="45"/>
      <c r="K30" s="27">
        <f>H25+J25-J36-J46</f>
        <v>1417.2959999999998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1611.9950000000001</v>
      </c>
      <c r="H33" s="23">
        <f>H34+H36+H39+H42</f>
        <v>0</v>
      </c>
      <c r="I33" s="23">
        <f>I34+I36+I39+I42</f>
        <v>0</v>
      </c>
      <c r="J33" s="23">
        <f>J34+J36+J39+J42</f>
        <v>208.27600000000001</v>
      </c>
      <c r="K33" s="23">
        <f>K34+K36+K39+K42</f>
        <v>1403.7190000000001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1611.9950000000001</v>
      </c>
      <c r="H36" s="27">
        <v>0</v>
      </c>
      <c r="I36" s="27">
        <v>0</v>
      </c>
      <c r="J36" s="27">
        <v>208.27600000000001</v>
      </c>
      <c r="K36" s="27">
        <v>1403.7190000000001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3042.8679999999995</v>
      </c>
      <c r="H43" s="27">
        <f>J28</f>
        <v>1625.5719999999999</v>
      </c>
      <c r="I43" s="27"/>
      <c r="J43" s="27">
        <f>K30</f>
        <v>1417.2959999999998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13.577</v>
      </c>
      <c r="H46" s="27"/>
      <c r="I46" s="27"/>
      <c r="J46" s="27"/>
      <c r="K46" s="27">
        <v>13.577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/>
      <c r="K47" s="27"/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92.7</v>
      </c>
      <c r="H48" s="27"/>
      <c r="I48" s="27"/>
      <c r="J48" s="27"/>
      <c r="K48" s="27">
        <f>0.0927*1000</f>
        <v>92.7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-79.123000000000005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-79.123000000000005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90" t="s">
        <v>109</v>
      </c>
      <c r="E51" s="91"/>
      <c r="F51" s="91"/>
      <c r="G51" s="91"/>
      <c r="H51" s="91"/>
      <c r="I51" s="91"/>
      <c r="J51" s="91"/>
      <c r="K51" s="92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4.5740999999999996</v>
      </c>
      <c r="H52" s="23">
        <f>H53+H54+H57+H60</f>
        <v>4.5740999999999996</v>
      </c>
      <c r="I52" s="23">
        <f>I53+I54+I57+I60</f>
        <v>0</v>
      </c>
      <c r="J52" s="23">
        <f>J53+J54+J57+J60</f>
        <v>0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4.5740999999999996</v>
      </c>
      <c r="H60" s="23">
        <f>SUM(H61:H63)</f>
        <v>4.5740999999999996</v>
      </c>
      <c r="I60" s="23">
        <f>SUM(I61:I63)</f>
        <v>0</v>
      </c>
      <c r="J60" s="23">
        <f>SUM(J61:J63)</f>
        <v>0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4.5740999999999996</v>
      </c>
      <c r="H62" s="52">
        <v>4.5740999999999996</v>
      </c>
      <c r="I62" s="52">
        <v>0</v>
      </c>
      <c r="J62" s="52"/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8.0956559999999982</v>
      </c>
      <c r="H64" s="23">
        <f>H66+H67+H68</f>
        <v>0</v>
      </c>
      <c r="I64" s="23">
        <f>I65+I67+I68</f>
        <v>0</v>
      </c>
      <c r="J64" s="23">
        <f>J65+J66+J68</f>
        <v>4.5740999999999996</v>
      </c>
      <c r="K64" s="23">
        <f>K65+K66+K67</f>
        <v>3.5215559999999995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4.5740999999999996</v>
      </c>
      <c r="H65" s="45"/>
      <c r="I65" s="27"/>
      <c r="J65" s="27">
        <f>H62</f>
        <v>4.5740999999999996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3.5215559999999995</v>
      </c>
      <c r="H67" s="27"/>
      <c r="I67" s="27"/>
      <c r="J67" s="45"/>
      <c r="K67" s="27">
        <f>K73+K83</f>
        <v>3.5215559999999995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4.3856000000000002</v>
      </c>
      <c r="H70" s="23">
        <f>H71+H73+H76+H79</f>
        <v>0</v>
      </c>
      <c r="I70" s="23">
        <f>I71+I73+I76+I79</f>
        <v>0</v>
      </c>
      <c r="J70" s="23">
        <f>J71+J73+J76+J79</f>
        <v>1.0525439999999999</v>
      </c>
      <c r="K70" s="23">
        <f>K71+K73+K76+K79</f>
        <v>3.333056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4.3856000000000002</v>
      </c>
      <c r="H73" s="27">
        <v>0</v>
      </c>
      <c r="I73" s="27">
        <v>0</v>
      </c>
      <c r="J73" s="27">
        <f>4.3856*0.24</f>
        <v>1.0525439999999999</v>
      </c>
      <c r="K73" s="27">
        <f>4.3856-J73</f>
        <v>3.333056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8.0956559999999982</v>
      </c>
      <c r="H80" s="27">
        <f>H62</f>
        <v>4.5740999999999996</v>
      </c>
      <c r="I80" s="27"/>
      <c r="J80" s="27">
        <f>K67</f>
        <v>3.5215559999999995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0.18849999999999945</v>
      </c>
      <c r="H83" s="27"/>
      <c r="I83" s="27"/>
      <c r="J83" s="27"/>
      <c r="K83" s="27">
        <f>G62-G73</f>
        <v>0.18849999999999945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0.2087</v>
      </c>
      <c r="H85" s="27"/>
      <c r="I85" s="27"/>
      <c r="J85" s="27"/>
      <c r="K85" s="27">
        <v>0.2087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-2.0200000000000551E-2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-2.0200000000000551E-2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90" t="s">
        <v>170</v>
      </c>
      <c r="E88" s="91"/>
      <c r="F88" s="91"/>
      <c r="G88" s="91"/>
      <c r="H88" s="91"/>
      <c r="I88" s="91"/>
      <c r="J88" s="91"/>
      <c r="K88" s="92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4.3856000000000002</v>
      </c>
      <c r="H89" s="27"/>
      <c r="I89" s="27"/>
      <c r="J89" s="42">
        <f>J73</f>
        <v>1.0525439999999999</v>
      </c>
      <c r="K89" s="42">
        <f>K73</f>
        <v>3.333056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90" t="s">
        <v>180</v>
      </c>
      <c r="E92" s="91"/>
      <c r="F92" s="91"/>
      <c r="G92" s="91"/>
      <c r="H92" s="91"/>
      <c r="I92" s="91"/>
      <c r="J92" s="91"/>
      <c r="K92" s="92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1611.9950000000001</v>
      </c>
      <c r="H120" s="57">
        <f>SUM(H121:H122)</f>
        <v>0</v>
      </c>
      <c r="I120" s="57">
        <f>SUM(I121:I122)</f>
        <v>0</v>
      </c>
      <c r="J120" s="57">
        <f>SUM(J121:J122)</f>
        <v>208.27600000000001</v>
      </c>
      <c r="K120" s="57">
        <f>SUM(K121:K122)</f>
        <v>1403.7190000000001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1611.9950000000001</v>
      </c>
      <c r="H121" s="56"/>
      <c r="I121" s="56"/>
      <c r="J121" s="56">
        <f>J36</f>
        <v>208.27600000000001</v>
      </c>
      <c r="K121" s="56">
        <f>K36</f>
        <v>1403.7190000000001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90" t="s">
        <v>268</v>
      </c>
      <c r="E125" s="91"/>
      <c r="F125" s="91"/>
      <c r="G125" s="91"/>
      <c r="H125" s="91"/>
      <c r="I125" s="91"/>
      <c r="J125" s="91"/>
      <c r="K125" s="92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2429.2764649999999</v>
      </c>
      <c r="H142" s="64">
        <f>SUM( H143:H144)</f>
        <v>0</v>
      </c>
      <c r="I142" s="64">
        <f>SUM( I143:I144)</f>
        <v>0</v>
      </c>
      <c r="J142" s="64">
        <f>SUM( J143:J144)</f>
        <v>313.87193200000002</v>
      </c>
      <c r="K142" s="64">
        <f>SUM( K143:K144)</f>
        <v>2115.4045329999999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2429.2764649999999</v>
      </c>
      <c r="H143" s="63"/>
      <c r="I143" s="63"/>
      <c r="J143" s="65">
        <f>J121*1.507</f>
        <v>313.87193200000002</v>
      </c>
      <c r="K143" s="65">
        <f>K121*1.507</f>
        <v>2115.4045329999999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83" t="str">
        <f>IF([6]Титульный!G45="","",[6]Титульный!G45)</f>
        <v>Коммерческий директор</v>
      </c>
      <c r="G148" s="83"/>
      <c r="H148" s="70"/>
      <c r="I148" s="83" t="str">
        <f>IF([6]Титульный!G44="","",[6]Титульный!G44)</f>
        <v>Байков Алексей Александрович</v>
      </c>
      <c r="J148" s="83"/>
      <c r="K148" s="83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93" t="s">
        <v>322</v>
      </c>
      <c r="G149" s="93"/>
      <c r="H149" s="72"/>
      <c r="I149" s="93" t="s">
        <v>323</v>
      </c>
      <c r="J149" s="93"/>
      <c r="K149" s="93"/>
      <c r="L149" s="72"/>
      <c r="M149" s="93" t="s">
        <v>324</v>
      </c>
      <c r="N149" s="93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83" t="str">
        <f>IF([6]Титульный!G46="","",[6]Титульный!G46)</f>
        <v>(495) 637 3220</v>
      </c>
      <c r="G151" s="83"/>
      <c r="H151" s="83"/>
      <c r="I151" s="24"/>
      <c r="J151" s="73" t="s">
        <v>327</v>
      </c>
      <c r="K151" s="78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94" t="s">
        <v>329</v>
      </c>
      <c r="G152" s="94"/>
      <c r="H152" s="94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9:G149"/>
    <mergeCell ref="I149:K149"/>
    <mergeCell ref="M149:N149"/>
    <mergeCell ref="F151:H151"/>
    <mergeCell ref="F152:H152"/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="60" zoomScaleNormal="100" workbookViewId="0">
      <selection activeCell="N49" sqref="N4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4" t="s">
        <v>11</v>
      </c>
      <c r="E8" s="8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5" t="s">
        <v>13</v>
      </c>
      <c r="E11" s="87" t="s">
        <v>14</v>
      </c>
      <c r="F11" s="87" t="s">
        <v>15</v>
      </c>
      <c r="G11" s="87" t="s">
        <v>16</v>
      </c>
      <c r="H11" s="87" t="s">
        <v>17</v>
      </c>
      <c r="I11" s="87"/>
      <c r="J11" s="87"/>
      <c r="K11" s="89"/>
      <c r="L11" s="13"/>
    </row>
    <row r="12" spans="1:77" ht="15" customHeight="1" x14ac:dyDescent="0.25">
      <c r="C12" s="6"/>
      <c r="D12" s="86"/>
      <c r="E12" s="88"/>
      <c r="F12" s="88"/>
      <c r="G12" s="88"/>
      <c r="H12" s="14" t="s">
        <v>18</v>
      </c>
      <c r="I12" s="14" t="s">
        <v>19</v>
      </c>
      <c r="J12" s="14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90" t="s">
        <v>22</v>
      </c>
      <c r="E14" s="91"/>
      <c r="F14" s="91"/>
      <c r="G14" s="91"/>
      <c r="H14" s="91"/>
      <c r="I14" s="91"/>
      <c r="J14" s="91"/>
      <c r="K14" s="92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5121.2070000000003</v>
      </c>
      <c r="H15" s="23">
        <f>H16+H17+H20+H23</f>
        <v>5121.2070000000003</v>
      </c>
      <c r="I15" s="23">
        <f>I16+I17+I20+I23</f>
        <v>0</v>
      </c>
      <c r="J15" s="23">
        <f>J16+J17+J20+J23</f>
        <v>0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5121.2070000000003</v>
      </c>
      <c r="H23" s="23">
        <f>SUM(H24:H26)</f>
        <v>5121.2070000000003</v>
      </c>
      <c r="I23" s="23">
        <f>SUM(I24:I26)</f>
        <v>0</v>
      </c>
      <c r="J23" s="23">
        <f>SUM(J24:J26)</f>
        <v>0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5121.2070000000003</v>
      </c>
      <c r="H25" s="42">
        <f>январь!H25+февраль!H25+март!H25</f>
        <v>5121.2070000000003</v>
      </c>
      <c r="I25" s="42">
        <v>0</v>
      </c>
      <c r="J25" s="42">
        <f>январь!J25+февраль!J25+март!J25</f>
        <v>0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9528.344000000001</v>
      </c>
      <c r="H27" s="23">
        <f>H29+H30+H31</f>
        <v>0</v>
      </c>
      <c r="I27" s="23">
        <f>I28+I30+I31</f>
        <v>0</v>
      </c>
      <c r="J27" s="23">
        <f>J28+J29+J31</f>
        <v>5121.2070000000003</v>
      </c>
      <c r="K27" s="23">
        <f>K28+K29+K30</f>
        <v>4407.1370000000006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5121.2070000000003</v>
      </c>
      <c r="H28" s="45"/>
      <c r="I28" s="27"/>
      <c r="J28" s="27">
        <f>H25</f>
        <v>5121.2070000000003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4407.1370000000006</v>
      </c>
      <c r="H30" s="27"/>
      <c r="I30" s="27"/>
      <c r="J30" s="45"/>
      <c r="K30" s="27">
        <f>H25+J25-J36-J46</f>
        <v>4407.1370000000006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5009.7389999999996</v>
      </c>
      <c r="H33" s="23">
        <f>H34+H36+H39+H42</f>
        <v>0</v>
      </c>
      <c r="I33" s="23">
        <f>I34+I36+I39+I42</f>
        <v>0</v>
      </c>
      <c r="J33" s="23">
        <f>J34+J36+J39+J42</f>
        <v>714.06999999999994</v>
      </c>
      <c r="K33" s="23">
        <f>K34+K36+K39+K42</f>
        <v>4295.6689999999999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5009.7389999999996</v>
      </c>
      <c r="H36" s="27">
        <v>0</v>
      </c>
      <c r="I36" s="27">
        <v>0</v>
      </c>
      <c r="J36" s="42">
        <f>январь!J36+февраль!J36+март!J36</f>
        <v>714.06999999999994</v>
      </c>
      <c r="K36" s="42">
        <f>январь!K36+февраль!K36+март!K36</f>
        <v>4295.6689999999999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9528.344000000001</v>
      </c>
      <c r="H43" s="27">
        <f>J28</f>
        <v>5121.2070000000003</v>
      </c>
      <c r="I43" s="27"/>
      <c r="J43" s="27">
        <f>K30</f>
        <v>4407.1370000000006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111.46800000000076</v>
      </c>
      <c r="H46" s="27"/>
      <c r="I46" s="27"/>
      <c r="J46" s="27"/>
      <c r="K46" s="27">
        <f>G25-G36</f>
        <v>111.46800000000076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357.7</v>
      </c>
      <c r="H48" s="27"/>
      <c r="I48" s="27"/>
      <c r="J48" s="42">
        <f>январь!J48+февраль!J48+март!J48</f>
        <v>0</v>
      </c>
      <c r="K48" s="42">
        <f>январь!K48+февраль!K48+март!K48</f>
        <v>357.7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-246.23199999999923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-246.23199999999923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90" t="s">
        <v>109</v>
      </c>
      <c r="E51" s="91"/>
      <c r="F51" s="91"/>
      <c r="G51" s="91"/>
      <c r="H51" s="91"/>
      <c r="I51" s="91"/>
      <c r="J51" s="91"/>
      <c r="K51" s="92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4.820666666666666</v>
      </c>
      <c r="H52" s="23">
        <f>H53+H54+H57+H60</f>
        <v>4.118033333333333</v>
      </c>
      <c r="I52" s="23">
        <f>I53+I54+I57+I60</f>
        <v>0</v>
      </c>
      <c r="J52" s="23">
        <f>J53+J54+J57+J60</f>
        <v>0.70263333333333344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4.820666666666666</v>
      </c>
      <c r="H60" s="23">
        <f>SUM(H61:H63)</f>
        <v>4.118033333333333</v>
      </c>
      <c r="I60" s="23">
        <f>SUM(I61:I63)</f>
        <v>0</v>
      </c>
      <c r="J60" s="23">
        <f>SUM(J61:J63)</f>
        <v>0.70263333333333344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4.820666666666666</v>
      </c>
      <c r="H62" s="42">
        <f>(январь!H62+февраль!H62+март!H62)/3</f>
        <v>4.118033333333333</v>
      </c>
      <c r="I62" s="52">
        <v>0</v>
      </c>
      <c r="J62" s="42">
        <f>(январь!J62+февраль!J62+март!J62)/3</f>
        <v>0.70263333333333344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7.7989639999999998</v>
      </c>
      <c r="H64" s="23">
        <f>H66+H67+H68</f>
        <v>0</v>
      </c>
      <c r="I64" s="23">
        <f>I65+I67+I68</f>
        <v>0</v>
      </c>
      <c r="J64" s="23">
        <f>J65+J66+J68</f>
        <v>4.118033333333333</v>
      </c>
      <c r="K64" s="23">
        <f>K65+K66+K67</f>
        <v>3.6809306666666664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4.118033333333333</v>
      </c>
      <c r="H65" s="45"/>
      <c r="I65" s="27"/>
      <c r="J65" s="27">
        <f>H62</f>
        <v>4.118033333333333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3.6809306666666664</v>
      </c>
      <c r="H67" s="27"/>
      <c r="I67" s="27"/>
      <c r="J67" s="45"/>
      <c r="K67" s="27">
        <f>K73+K83</f>
        <v>3.6809306666666664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4.6182666666666661</v>
      </c>
      <c r="H70" s="23">
        <f>H71+H73+H76+H79</f>
        <v>0</v>
      </c>
      <c r="I70" s="23">
        <f>I71+I73+I76+I79</f>
        <v>0</v>
      </c>
      <c r="J70" s="23">
        <f>J71+J73+J76+J79</f>
        <v>1.1253359999999999</v>
      </c>
      <c r="K70" s="23">
        <f>K71+K73+K76+K79</f>
        <v>3.4929306666666662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4.6182666666666661</v>
      </c>
      <c r="H73" s="27">
        <v>0</v>
      </c>
      <c r="I73" s="27">
        <v>0</v>
      </c>
      <c r="J73" s="42">
        <f>(январь!J73+февраль!J73+март!J73)/3</f>
        <v>1.1253359999999999</v>
      </c>
      <c r="K73" s="42">
        <f>(январь!K73+февраль!K73+март!K73)/3</f>
        <v>3.4929306666666662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7.7989639999999998</v>
      </c>
      <c r="H80" s="27">
        <f>H62</f>
        <v>4.118033333333333</v>
      </c>
      <c r="I80" s="27"/>
      <c r="J80" s="27">
        <f>K67</f>
        <v>3.6809306666666664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0.188</v>
      </c>
      <c r="H83" s="27"/>
      <c r="I83" s="27"/>
      <c r="J83" s="27"/>
      <c r="K83" s="80">
        <v>0.188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80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0.1885</v>
      </c>
      <c r="H85" s="27"/>
      <c r="I85" s="27"/>
      <c r="J85" s="27"/>
      <c r="K85" s="80">
        <v>0.1885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-5.0000000000000044E-4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-5.0000000000000044E-4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1.440000000000019E-2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1.440000000000019E-2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90" t="s">
        <v>170</v>
      </c>
      <c r="E88" s="91"/>
      <c r="F88" s="91"/>
      <c r="G88" s="91"/>
      <c r="H88" s="91"/>
      <c r="I88" s="91"/>
      <c r="J88" s="91"/>
      <c r="K88" s="92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4.6182666666666661</v>
      </c>
      <c r="H89" s="27"/>
      <c r="I89" s="27"/>
      <c r="J89" s="42">
        <f>J73</f>
        <v>1.1253359999999999</v>
      </c>
      <c r="K89" s="42">
        <f>K73</f>
        <v>3.4929306666666662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90" t="s">
        <v>180</v>
      </c>
      <c r="E92" s="91"/>
      <c r="F92" s="91"/>
      <c r="G92" s="91"/>
      <c r="H92" s="91"/>
      <c r="I92" s="91"/>
      <c r="J92" s="91"/>
      <c r="K92" s="92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5009.7389999999996</v>
      </c>
      <c r="H120" s="57">
        <f>SUM(H121:H122)</f>
        <v>0</v>
      </c>
      <c r="I120" s="57">
        <f>SUM(I121:I122)</f>
        <v>0</v>
      </c>
      <c r="J120" s="57">
        <f>SUM(J121:J122)</f>
        <v>714.06999999999994</v>
      </c>
      <c r="K120" s="57">
        <f>SUM(K121:K122)</f>
        <v>4295.6689999999999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5009.7389999999996</v>
      </c>
      <c r="H121" s="56"/>
      <c r="I121" s="56"/>
      <c r="J121" s="56">
        <f>J36</f>
        <v>714.06999999999994</v>
      </c>
      <c r="K121" s="56">
        <f>K36</f>
        <v>4295.6689999999999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90" t="s">
        <v>268</v>
      </c>
      <c r="E125" s="91"/>
      <c r="F125" s="91"/>
      <c r="G125" s="91"/>
      <c r="H125" s="91"/>
      <c r="I125" s="91"/>
      <c r="J125" s="91"/>
      <c r="K125" s="92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7294.1799839999994</v>
      </c>
      <c r="H142" s="64">
        <f>SUM( H143:H144)</f>
        <v>0</v>
      </c>
      <c r="I142" s="64">
        <f>SUM( I143:I144)</f>
        <v>0</v>
      </c>
      <c r="J142" s="64">
        <f>SUM( J143:J144)</f>
        <v>1039.6859199999999</v>
      </c>
      <c r="K142" s="64">
        <f>SUM( K143:K144)</f>
        <v>6254.4940639999995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7294.1799839999994</v>
      </c>
      <c r="H143" s="63"/>
      <c r="I143" s="63"/>
      <c r="J143" s="65">
        <f>J121*1.456</f>
        <v>1039.6859199999999</v>
      </c>
      <c r="K143" s="65">
        <f>K121*1.456</f>
        <v>6254.4940639999995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83" t="str">
        <f>IF([6]Титульный!G45="","",[6]Титульный!G45)</f>
        <v>Коммерческий директор</v>
      </c>
      <c r="G148" s="83"/>
      <c r="H148" s="70"/>
      <c r="I148" s="83" t="str">
        <f>IF([6]Титульный!G44="","",[6]Титульный!G44)</f>
        <v>Байков Алексей Александрович</v>
      </c>
      <c r="J148" s="83"/>
      <c r="K148" s="83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93" t="s">
        <v>322</v>
      </c>
      <c r="G149" s="93"/>
      <c r="H149" s="72"/>
      <c r="I149" s="93" t="s">
        <v>323</v>
      </c>
      <c r="J149" s="93"/>
      <c r="K149" s="93"/>
      <c r="L149" s="72"/>
      <c r="M149" s="93" t="s">
        <v>324</v>
      </c>
      <c r="N149" s="93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83" t="str">
        <f>IF([6]Титульный!G46="","",[6]Титульный!G46)</f>
        <v>(495) 637 3220</v>
      </c>
      <c r="G151" s="83"/>
      <c r="H151" s="83"/>
      <c r="I151" s="24"/>
      <c r="J151" s="73" t="s">
        <v>327</v>
      </c>
      <c r="K151" s="74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94" t="s">
        <v>329</v>
      </c>
      <c r="G152" s="94"/>
      <c r="H152" s="94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9:G149"/>
    <mergeCell ref="I149:K149"/>
    <mergeCell ref="M149:N149"/>
    <mergeCell ref="F151:H151"/>
    <mergeCell ref="F152:H152"/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</mergeCells>
  <dataValidations count="2">
    <dataValidation type="decimal" allowBlank="1" showErrorMessage="1" errorTitle="Ошибка" error="Допускается ввод только действительных чисел!" sqref="G23:K25 G89:K91 G93:K124 G52:K55 G42:K50 G79:K87 G20:K21 G60:K62 G27:K40 G15:K18 G126:K146 G57:K58 G64:K77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25 E62"/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="60" zoomScaleNormal="100" workbookViewId="0">
      <selection activeCell="G9" sqref="G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t="11.25" hidden="1" customHeight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t="11.25" hidden="1" customHeight="1" x14ac:dyDescent="0.25"/>
    <row r="3" spans="1:77" ht="11.25" hidden="1" customHeight="1" x14ac:dyDescent="0.25"/>
    <row r="4" spans="1:77" ht="11.25" hidden="1" customHeight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t="11.25" hidden="1" customHeight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t="11.25" hidden="1" customHeight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4" t="s">
        <v>11</v>
      </c>
      <c r="E8" s="84"/>
      <c r="F8" s="9"/>
      <c r="G8" s="9" t="s">
        <v>335</v>
      </c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5" t="s">
        <v>13</v>
      </c>
      <c r="E11" s="87" t="s">
        <v>14</v>
      </c>
      <c r="F11" s="87" t="s">
        <v>15</v>
      </c>
      <c r="G11" s="87" t="s">
        <v>16</v>
      </c>
      <c r="H11" s="87" t="s">
        <v>17</v>
      </c>
      <c r="I11" s="87"/>
      <c r="J11" s="87"/>
      <c r="K11" s="89"/>
      <c r="L11" s="13"/>
    </row>
    <row r="12" spans="1:77" ht="15" customHeight="1" x14ac:dyDescent="0.25">
      <c r="C12" s="6"/>
      <c r="D12" s="86"/>
      <c r="E12" s="88"/>
      <c r="F12" s="88"/>
      <c r="G12" s="88"/>
      <c r="H12" s="79" t="s">
        <v>18</v>
      </c>
      <c r="I12" s="79" t="s">
        <v>19</v>
      </c>
      <c r="J12" s="79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90" t="s">
        <v>22</v>
      </c>
      <c r="E14" s="91"/>
      <c r="F14" s="91"/>
      <c r="G14" s="91"/>
      <c r="H14" s="91"/>
      <c r="I14" s="91"/>
      <c r="J14" s="91"/>
      <c r="K14" s="92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1565.77</v>
      </c>
      <c r="H15" s="23">
        <f>H16+H17+H20+H23</f>
        <v>1565.77</v>
      </c>
      <c r="I15" s="23">
        <f>I16+I17+I20+I23</f>
        <v>0</v>
      </c>
      <c r="J15" s="23">
        <f>J16+J17+J20+J23</f>
        <v>0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1565.77</v>
      </c>
      <c r="H23" s="23">
        <f>SUM(H24:H26)</f>
        <v>1565.77</v>
      </c>
      <c r="I23" s="23">
        <f>SUM(I24:I26)</f>
        <v>0</v>
      </c>
      <c r="J23" s="23">
        <f>SUM(J24:J26)</f>
        <v>0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1565.77</v>
      </c>
      <c r="H25" s="42">
        <v>1565.77</v>
      </c>
      <c r="I25" s="42">
        <v>0</v>
      </c>
      <c r="J25" s="42"/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2897.77</v>
      </c>
      <c r="H27" s="23">
        <f>H29+H30+H31</f>
        <v>0</v>
      </c>
      <c r="I27" s="23">
        <f>I28+I30+I31</f>
        <v>0</v>
      </c>
      <c r="J27" s="23">
        <f>J28+J29+J31</f>
        <v>1565.77</v>
      </c>
      <c r="K27" s="23">
        <f>K28+K29+K30</f>
        <v>1332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1565.77</v>
      </c>
      <c r="H28" s="45"/>
      <c r="I28" s="27"/>
      <c r="J28" s="27">
        <f>H25</f>
        <v>1565.77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1332</v>
      </c>
      <c r="H30" s="27"/>
      <c r="I30" s="27"/>
      <c r="J30" s="45"/>
      <c r="K30" s="27">
        <f>H25+J25-J36-J46</f>
        <v>1332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1510.7149999999999</v>
      </c>
      <c r="H33" s="23">
        <f>H34+H36+H39+H42</f>
        <v>0</v>
      </c>
      <c r="I33" s="23">
        <f>I34+I36+I39+I42</f>
        <v>0</v>
      </c>
      <c r="J33" s="23">
        <f>J34+J36+J39+J42</f>
        <v>233.77</v>
      </c>
      <c r="K33" s="23">
        <f>K34+K36+K39+K42</f>
        <v>1276.9449999999999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1510.7149999999999</v>
      </c>
      <c r="H36" s="27">
        <v>0</v>
      </c>
      <c r="I36" s="27">
        <v>0</v>
      </c>
      <c r="J36" s="27">
        <v>233.77</v>
      </c>
      <c r="K36" s="27">
        <v>1276.9449999999999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2897.77</v>
      </c>
      <c r="H43" s="27">
        <f>J28</f>
        <v>1565.77</v>
      </c>
      <c r="I43" s="27"/>
      <c r="J43" s="27">
        <f>K30</f>
        <v>1332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55.055</v>
      </c>
      <c r="H46" s="27"/>
      <c r="I46" s="27"/>
      <c r="J46" s="27"/>
      <c r="K46" s="27">
        <v>55.055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/>
      <c r="K47" s="27"/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75.899999999999991</v>
      </c>
      <c r="H48" s="27"/>
      <c r="I48" s="27"/>
      <c r="J48" s="27"/>
      <c r="K48" s="27">
        <f>0.0759*1000</f>
        <v>75.899999999999991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-20.844999999999992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-20.844999999999992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90" t="s">
        <v>109</v>
      </c>
      <c r="E51" s="91"/>
      <c r="F51" s="91"/>
      <c r="G51" s="91"/>
      <c r="H51" s="91"/>
      <c r="I51" s="91"/>
      <c r="J51" s="91"/>
      <c r="K51" s="92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2.5919845800000001</v>
      </c>
      <c r="H52" s="23">
        <f>H53+H54+H57+H60</f>
        <v>2.5919845800000001</v>
      </c>
      <c r="I52" s="23">
        <f>I53+I54+I57+I60</f>
        <v>0</v>
      </c>
      <c r="J52" s="23">
        <f>J53+J54+J57+J60</f>
        <v>0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2.5919845800000001</v>
      </c>
      <c r="H60" s="23">
        <f>SUM(H61:H63)</f>
        <v>2.5919845800000001</v>
      </c>
      <c r="I60" s="23">
        <f>SUM(I61:I63)</f>
        <v>0</v>
      </c>
      <c r="J60" s="23">
        <f>SUM(J61:J63)</f>
        <v>0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2.5919845800000001</v>
      </c>
      <c r="H62" s="52">
        <f>(J73+K73)*1.00038</f>
        <v>2.5919845800000001</v>
      </c>
      <c r="I62" s="52">
        <v>0</v>
      </c>
      <c r="J62" s="52"/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4.7829691600000004</v>
      </c>
      <c r="H64" s="23">
        <f>H66+H67+H68</f>
        <v>0</v>
      </c>
      <c r="I64" s="23">
        <f>I65+I67+I68</f>
        <v>0</v>
      </c>
      <c r="J64" s="23">
        <f>J65+J66+J68</f>
        <v>2.5919845800000001</v>
      </c>
      <c r="K64" s="23">
        <f>K65+K66+K67</f>
        <v>2.1909845799999998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2.5919845800000001</v>
      </c>
      <c r="H65" s="45"/>
      <c r="I65" s="27"/>
      <c r="J65" s="27">
        <f>H62</f>
        <v>2.5919845800000001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2.1909845799999998</v>
      </c>
      <c r="H67" s="27"/>
      <c r="I67" s="27"/>
      <c r="J67" s="45"/>
      <c r="K67" s="27">
        <f>K73+K83</f>
        <v>2.1909845799999998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2.5910000000000002</v>
      </c>
      <c r="H70" s="23">
        <f>H71+H73+H76+H79</f>
        <v>0</v>
      </c>
      <c r="I70" s="23">
        <f>I71+I73+I76+I79</f>
        <v>0</v>
      </c>
      <c r="J70" s="23">
        <f>J71+J73+J76+J79</f>
        <v>0.40100000000000002</v>
      </c>
      <c r="K70" s="23">
        <f>K71+K73+K76+K79</f>
        <v>2.19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2.5910000000000002</v>
      </c>
      <c r="H73" s="27">
        <v>0</v>
      </c>
      <c r="I73" s="27">
        <v>0</v>
      </c>
      <c r="J73" s="27">
        <v>0.40100000000000002</v>
      </c>
      <c r="K73" s="27">
        <v>2.19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4.7829691600000004</v>
      </c>
      <c r="H80" s="27">
        <f>H62</f>
        <v>2.5919845800000001</v>
      </c>
      <c r="I80" s="27"/>
      <c r="J80" s="27">
        <f>K67</f>
        <v>2.1909845799999998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9.8457999999990164E-4</v>
      </c>
      <c r="H83" s="27"/>
      <c r="I83" s="27"/>
      <c r="J83" s="27"/>
      <c r="K83" s="27">
        <f>G62-G73</f>
        <v>9.8457999999990164E-4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0.16109999999999999</v>
      </c>
      <c r="H85" s="27"/>
      <c r="I85" s="27"/>
      <c r="J85" s="27"/>
      <c r="K85" s="27">
        <v>0.16109999999999999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-0.16011542000000009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-0.16011542000000009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90" t="s">
        <v>170</v>
      </c>
      <c r="E88" s="91"/>
      <c r="F88" s="91"/>
      <c r="G88" s="91"/>
      <c r="H88" s="91"/>
      <c r="I88" s="91"/>
      <c r="J88" s="91"/>
      <c r="K88" s="92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2.5910000000000002</v>
      </c>
      <c r="H89" s="27"/>
      <c r="I89" s="27"/>
      <c r="J89" s="42">
        <f>J73</f>
        <v>0.40100000000000002</v>
      </c>
      <c r="K89" s="42">
        <f>K73</f>
        <v>2.19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90" t="s">
        <v>180</v>
      </c>
      <c r="E92" s="91"/>
      <c r="F92" s="91"/>
      <c r="G92" s="91"/>
      <c r="H92" s="91"/>
      <c r="I92" s="91"/>
      <c r="J92" s="91"/>
      <c r="K92" s="92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1510.7149999999999</v>
      </c>
      <c r="H120" s="57">
        <f>SUM(H121:H122)</f>
        <v>0</v>
      </c>
      <c r="I120" s="57">
        <f>SUM(I121:I122)</f>
        <v>0</v>
      </c>
      <c r="J120" s="57">
        <f>SUM(J121:J122)</f>
        <v>233.77</v>
      </c>
      <c r="K120" s="57">
        <f>SUM(K121:K122)</f>
        <v>1276.9449999999999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1510.7149999999999</v>
      </c>
      <c r="H121" s="56"/>
      <c r="I121" s="56"/>
      <c r="J121" s="56">
        <f>J36</f>
        <v>233.77</v>
      </c>
      <c r="K121" s="56">
        <f>K36</f>
        <v>1276.9449999999999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90" t="s">
        <v>268</v>
      </c>
      <c r="E125" s="91"/>
      <c r="F125" s="91"/>
      <c r="G125" s="91"/>
      <c r="H125" s="91"/>
      <c r="I125" s="91"/>
      <c r="J125" s="91"/>
      <c r="K125" s="92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2276.6475049999999</v>
      </c>
      <c r="H142" s="64">
        <f>SUM( H143:H144)</f>
        <v>0</v>
      </c>
      <c r="I142" s="64">
        <f>SUM( I143:I144)</f>
        <v>0</v>
      </c>
      <c r="J142" s="64">
        <f>SUM( J143:J144)</f>
        <v>352.29138999999998</v>
      </c>
      <c r="K142" s="64">
        <f>SUM( K143:K144)</f>
        <v>1924.3561149999998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2276.6475049999999</v>
      </c>
      <c r="H143" s="63"/>
      <c r="I143" s="63"/>
      <c r="J143" s="65">
        <f>J121*1.507</f>
        <v>352.29138999999998</v>
      </c>
      <c r="K143" s="65">
        <f>K121*1.507</f>
        <v>1924.3561149999998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83" t="str">
        <f>IF([7]Титульный!G45="","",[7]Титульный!G45)</f>
        <v>Коммерческий директор</v>
      </c>
      <c r="G148" s="83"/>
      <c r="H148" s="70"/>
      <c r="I148" s="83" t="str">
        <f>IF([8]Титульный!G44="","",[8]Титульный!G44)</f>
        <v>Байков Алексей Александрович</v>
      </c>
      <c r="J148" s="83"/>
      <c r="K148" s="83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93" t="s">
        <v>322</v>
      </c>
      <c r="G149" s="93"/>
      <c r="H149" s="72"/>
      <c r="I149" s="93" t="s">
        <v>323</v>
      </c>
      <c r="J149" s="93"/>
      <c r="K149" s="93"/>
      <c r="L149" s="72"/>
      <c r="M149" s="93" t="s">
        <v>324</v>
      </c>
      <c r="N149" s="93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83" t="str">
        <f>IF([7]Титульный!G46="","",[7]Титульный!G46)</f>
        <v>(495) 637 3220</v>
      </c>
      <c r="G151" s="83"/>
      <c r="H151" s="83"/>
      <c r="I151" s="24"/>
      <c r="J151" s="73" t="s">
        <v>327</v>
      </c>
      <c r="K151" s="78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94" t="s">
        <v>329</v>
      </c>
      <c r="G152" s="94"/>
      <c r="H152" s="94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9:G149"/>
    <mergeCell ref="I149:K149"/>
    <mergeCell ref="M149:N149"/>
    <mergeCell ref="F151:H151"/>
    <mergeCell ref="F152:H152"/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="60" zoomScaleNormal="100" workbookViewId="0">
      <selection activeCell="G9" sqref="G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t="11.25" hidden="1" customHeight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t="11.25" hidden="1" customHeight="1" x14ac:dyDescent="0.25"/>
    <row r="3" spans="1:77" ht="11.25" hidden="1" customHeight="1" x14ac:dyDescent="0.25"/>
    <row r="4" spans="1:77" ht="11.25" hidden="1" customHeight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t="11.25" hidden="1" customHeight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t="11.25" hidden="1" customHeight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4" t="s">
        <v>11</v>
      </c>
      <c r="E8" s="84"/>
      <c r="F8" s="9"/>
      <c r="G8" s="9" t="s">
        <v>336</v>
      </c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5" t="s">
        <v>13</v>
      </c>
      <c r="E11" s="87" t="s">
        <v>14</v>
      </c>
      <c r="F11" s="87" t="s">
        <v>15</v>
      </c>
      <c r="G11" s="87" t="s">
        <v>16</v>
      </c>
      <c r="H11" s="87" t="s">
        <v>17</v>
      </c>
      <c r="I11" s="87"/>
      <c r="J11" s="87"/>
      <c r="K11" s="89"/>
      <c r="L11" s="13"/>
    </row>
    <row r="12" spans="1:77" ht="15" customHeight="1" x14ac:dyDescent="0.25">
      <c r="C12" s="6"/>
      <c r="D12" s="86"/>
      <c r="E12" s="88"/>
      <c r="F12" s="88"/>
      <c r="G12" s="88"/>
      <c r="H12" s="79" t="s">
        <v>18</v>
      </c>
      <c r="I12" s="79" t="s">
        <v>19</v>
      </c>
      <c r="J12" s="79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90" t="s">
        <v>22</v>
      </c>
      <c r="E14" s="91"/>
      <c r="F14" s="91"/>
      <c r="G14" s="91"/>
      <c r="H14" s="91"/>
      <c r="I14" s="91"/>
      <c r="J14" s="91"/>
      <c r="K14" s="92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1445.028</v>
      </c>
      <c r="H15" s="23">
        <f>H16+H17+H20+H23</f>
        <v>1445.028</v>
      </c>
      <c r="I15" s="23">
        <f>I16+I17+I20+I23</f>
        <v>0</v>
      </c>
      <c r="J15" s="23">
        <f>J16+J17+J20+J23</f>
        <v>0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1445.028</v>
      </c>
      <c r="H23" s="23">
        <f>SUM(H24:H26)</f>
        <v>1445.028</v>
      </c>
      <c r="I23" s="23">
        <f>SUM(I24:I26)</f>
        <v>0</v>
      </c>
      <c r="J23" s="23">
        <f>SUM(J24:J26)</f>
        <v>0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1445.028</v>
      </c>
      <c r="H25" s="42">
        <v>1445.028</v>
      </c>
      <c r="I25" s="42">
        <v>0</v>
      </c>
      <c r="J25" s="42"/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2783.6279999999997</v>
      </c>
      <c r="H27" s="23">
        <f>H29+H30+H31</f>
        <v>0</v>
      </c>
      <c r="I27" s="23">
        <f>I28+I30+I31</f>
        <v>0</v>
      </c>
      <c r="J27" s="23">
        <f>J28+J29+J31</f>
        <v>1445.028</v>
      </c>
      <c r="K27" s="23">
        <f>K28+K29+K30</f>
        <v>1338.6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1445.028</v>
      </c>
      <c r="H28" s="45"/>
      <c r="I28" s="27"/>
      <c r="J28" s="27">
        <f>H25</f>
        <v>1445.028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1338.6</v>
      </c>
      <c r="H30" s="27"/>
      <c r="I30" s="27"/>
      <c r="J30" s="45"/>
      <c r="K30" s="27">
        <f>H25+J25-J36-J46</f>
        <v>1338.6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1362.9209999999998</v>
      </c>
      <c r="H33" s="23">
        <f>H34+H36+H39+H42</f>
        <v>0</v>
      </c>
      <c r="I33" s="23">
        <f>I34+I36+I39+I42</f>
        <v>0</v>
      </c>
      <c r="J33" s="23">
        <f>J34+J36+J39+J42</f>
        <v>106.428</v>
      </c>
      <c r="K33" s="23">
        <f>K34+K36+K39+K42</f>
        <v>1256.4929999999999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1362.9209999999998</v>
      </c>
      <c r="H36" s="27">
        <v>0</v>
      </c>
      <c r="I36" s="27">
        <v>0</v>
      </c>
      <c r="J36" s="27">
        <v>106.428</v>
      </c>
      <c r="K36" s="27">
        <v>1256.4929999999999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2783.6279999999997</v>
      </c>
      <c r="H43" s="27">
        <f>J28</f>
        <v>1445.028</v>
      </c>
      <c r="I43" s="27"/>
      <c r="J43" s="27">
        <f>K30</f>
        <v>1338.6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82.106999999999999</v>
      </c>
      <c r="H46" s="27"/>
      <c r="I46" s="27"/>
      <c r="J46" s="27"/>
      <c r="K46" s="27">
        <v>82.106999999999999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/>
      <c r="K47" s="27"/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58.7</v>
      </c>
      <c r="H48" s="27"/>
      <c r="I48" s="27"/>
      <c r="J48" s="27"/>
      <c r="K48" s="27">
        <f>0.0587*1000</f>
        <v>58.7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23.406999999999996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23.406999999999996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90" t="s">
        <v>109</v>
      </c>
      <c r="E51" s="91"/>
      <c r="F51" s="91"/>
      <c r="G51" s="91"/>
      <c r="H51" s="91"/>
      <c r="I51" s="91"/>
      <c r="J51" s="91"/>
      <c r="K51" s="92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2.72105</v>
      </c>
      <c r="H52" s="23">
        <f>H53+H54+H57+H60</f>
        <v>2.72105</v>
      </c>
      <c r="I52" s="23">
        <f>I53+I54+I57+I60</f>
        <v>0</v>
      </c>
      <c r="J52" s="23">
        <f>J53+J54+J57+J60</f>
        <v>0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2.72105</v>
      </c>
      <c r="H60" s="23">
        <f>SUM(H61:H63)</f>
        <v>2.72105</v>
      </c>
      <c r="I60" s="23">
        <f>SUM(I61:I63)</f>
        <v>0</v>
      </c>
      <c r="J60" s="23">
        <f>SUM(J61:J63)</f>
        <v>0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2.72105</v>
      </c>
      <c r="H62" s="52">
        <v>2.72105</v>
      </c>
      <c r="I62" s="52">
        <v>0</v>
      </c>
      <c r="J62" s="52"/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5.0411000000000001</v>
      </c>
      <c r="H64" s="23">
        <f>H66+H67+H68</f>
        <v>0</v>
      </c>
      <c r="I64" s="23">
        <f>I65+I67+I68</f>
        <v>0</v>
      </c>
      <c r="J64" s="23">
        <f>J65+J66+J68</f>
        <v>2.72105</v>
      </c>
      <c r="K64" s="23">
        <f>K65+K66+K67</f>
        <v>2.3200499999999997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2.72105</v>
      </c>
      <c r="H65" s="45"/>
      <c r="I65" s="27"/>
      <c r="J65" s="27">
        <f>H62</f>
        <v>2.72105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2.3200499999999997</v>
      </c>
      <c r="H67" s="27"/>
      <c r="I67" s="27"/>
      <c r="J67" s="45"/>
      <c r="K67" s="27">
        <f>K73+K83</f>
        <v>2.3200499999999997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2.5910000000000002</v>
      </c>
      <c r="H70" s="23">
        <f>H71+H73+H76+H79</f>
        <v>0</v>
      </c>
      <c r="I70" s="23">
        <f>I71+I73+I76+I79</f>
        <v>0</v>
      </c>
      <c r="J70" s="23">
        <f>J71+J73+J76+J79</f>
        <v>0.40100000000000002</v>
      </c>
      <c r="K70" s="23">
        <f>K71+K73+K76+K79</f>
        <v>2.19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2.5910000000000002</v>
      </c>
      <c r="H73" s="27">
        <v>0</v>
      </c>
      <c r="I73" s="27">
        <v>0</v>
      </c>
      <c r="J73" s="27">
        <v>0.40100000000000002</v>
      </c>
      <c r="K73" s="27">
        <v>2.19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5.0411000000000001</v>
      </c>
      <c r="H80" s="27">
        <f>H62</f>
        <v>2.72105</v>
      </c>
      <c r="I80" s="27"/>
      <c r="J80" s="27">
        <f>K67</f>
        <v>2.3200499999999997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0.13004999999999978</v>
      </c>
      <c r="H83" s="27"/>
      <c r="I83" s="27"/>
      <c r="J83" s="27"/>
      <c r="K83" s="27">
        <f>G62-G73</f>
        <v>0.13004999999999978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0.13039999999999999</v>
      </c>
      <c r="H85" s="27"/>
      <c r="I85" s="27"/>
      <c r="J85" s="27"/>
      <c r="K85" s="27">
        <v>0.13039999999999999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-3.5000000000021125E-4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-3.5000000000021125E-4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90" t="s">
        <v>170</v>
      </c>
      <c r="E88" s="91"/>
      <c r="F88" s="91"/>
      <c r="G88" s="91"/>
      <c r="H88" s="91"/>
      <c r="I88" s="91"/>
      <c r="J88" s="91"/>
      <c r="K88" s="92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2.5910000000000002</v>
      </c>
      <c r="H89" s="27"/>
      <c r="I89" s="27"/>
      <c r="J89" s="42">
        <f>J73</f>
        <v>0.40100000000000002</v>
      </c>
      <c r="K89" s="42">
        <f>K73</f>
        <v>2.19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90" t="s">
        <v>180</v>
      </c>
      <c r="E92" s="91"/>
      <c r="F92" s="91"/>
      <c r="G92" s="91"/>
      <c r="H92" s="91"/>
      <c r="I92" s="91"/>
      <c r="J92" s="91"/>
      <c r="K92" s="92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1362.9209999999998</v>
      </c>
      <c r="H120" s="57">
        <f>SUM(H121:H122)</f>
        <v>0</v>
      </c>
      <c r="I120" s="57">
        <f>SUM(I121:I122)</f>
        <v>0</v>
      </c>
      <c r="J120" s="57">
        <f>SUM(J121:J122)</f>
        <v>106.428</v>
      </c>
      <c r="K120" s="57">
        <f>SUM(K121:K122)</f>
        <v>1256.4929999999999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1362.9209999999998</v>
      </c>
      <c r="H121" s="56"/>
      <c r="I121" s="56"/>
      <c r="J121" s="56">
        <f>J36</f>
        <v>106.428</v>
      </c>
      <c r="K121" s="56">
        <f>K36</f>
        <v>1256.4929999999999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90" t="s">
        <v>268</v>
      </c>
      <c r="E125" s="91"/>
      <c r="F125" s="91"/>
      <c r="G125" s="91"/>
      <c r="H125" s="91"/>
      <c r="I125" s="91"/>
      <c r="J125" s="91"/>
      <c r="K125" s="92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2053.9219469999998</v>
      </c>
      <c r="H142" s="64">
        <f>SUM( H143:H144)</f>
        <v>0</v>
      </c>
      <c r="I142" s="64">
        <f>SUM( I143:I144)</f>
        <v>0</v>
      </c>
      <c r="J142" s="64">
        <f>SUM( J143:J144)</f>
        <v>160.38699599999998</v>
      </c>
      <c r="K142" s="64">
        <f>SUM( K143:K144)</f>
        <v>1893.5349509999999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2053.9219469999998</v>
      </c>
      <c r="H143" s="63"/>
      <c r="I143" s="63"/>
      <c r="J143" s="65">
        <f>J121*1.507</f>
        <v>160.38699599999998</v>
      </c>
      <c r="K143" s="65">
        <f>K121*1.507</f>
        <v>1893.5349509999999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83" t="str">
        <f>IF([9]Титульный!G45="","",[9]Титульный!G45)</f>
        <v>Коммерческий директор</v>
      </c>
      <c r="G148" s="83"/>
      <c r="H148" s="70"/>
      <c r="I148" s="83" t="str">
        <f>IF([10]Титульный!G44="","",[10]Титульный!G44)</f>
        <v>Байков Алексей Александрович</v>
      </c>
      <c r="J148" s="83"/>
      <c r="K148" s="83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93" t="s">
        <v>322</v>
      </c>
      <c r="G149" s="93"/>
      <c r="H149" s="72"/>
      <c r="I149" s="93" t="s">
        <v>323</v>
      </c>
      <c r="J149" s="93"/>
      <c r="K149" s="93"/>
      <c r="L149" s="72"/>
      <c r="M149" s="93" t="s">
        <v>324</v>
      </c>
      <c r="N149" s="93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83" t="str">
        <f>IF([9]Титульный!G46="","",[9]Титульный!G46)</f>
        <v>(495) 637 3220</v>
      </c>
      <c r="G151" s="83"/>
      <c r="H151" s="83"/>
      <c r="I151" s="24"/>
      <c r="J151" s="73" t="s">
        <v>327</v>
      </c>
      <c r="K151" s="78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94" t="s">
        <v>329</v>
      </c>
      <c r="G152" s="94"/>
      <c r="H152" s="94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9:G149"/>
    <mergeCell ref="I149:K149"/>
    <mergeCell ref="M149:N149"/>
    <mergeCell ref="F151:H151"/>
    <mergeCell ref="F152:H152"/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="60" zoomScaleNormal="100" workbookViewId="0">
      <selection activeCell="G9" sqref="G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t="11.25" hidden="1" customHeight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t="11.25" hidden="1" customHeight="1" x14ac:dyDescent="0.25"/>
    <row r="3" spans="1:77" ht="11.25" hidden="1" customHeight="1" x14ac:dyDescent="0.25"/>
    <row r="4" spans="1:77" ht="11.25" hidden="1" customHeight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t="11.25" hidden="1" customHeight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t="11.25" hidden="1" customHeight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4" t="s">
        <v>11</v>
      </c>
      <c r="E8" s="84"/>
      <c r="F8" s="9"/>
      <c r="G8" s="9" t="s">
        <v>337</v>
      </c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5" t="s">
        <v>13</v>
      </c>
      <c r="E11" s="87" t="s">
        <v>14</v>
      </c>
      <c r="F11" s="87" t="s">
        <v>15</v>
      </c>
      <c r="G11" s="87" t="s">
        <v>16</v>
      </c>
      <c r="H11" s="87" t="s">
        <v>17</v>
      </c>
      <c r="I11" s="87"/>
      <c r="J11" s="87"/>
      <c r="K11" s="89"/>
      <c r="L11" s="13"/>
    </row>
    <row r="12" spans="1:77" ht="15" customHeight="1" x14ac:dyDescent="0.25">
      <c r="C12" s="6"/>
      <c r="D12" s="86"/>
      <c r="E12" s="88"/>
      <c r="F12" s="88"/>
      <c r="G12" s="88"/>
      <c r="H12" s="79" t="s">
        <v>18</v>
      </c>
      <c r="I12" s="79" t="s">
        <v>19</v>
      </c>
      <c r="J12" s="79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90" t="s">
        <v>22</v>
      </c>
      <c r="E14" s="91"/>
      <c r="F14" s="91"/>
      <c r="G14" s="91"/>
      <c r="H14" s="91"/>
      <c r="I14" s="91"/>
      <c r="J14" s="91"/>
      <c r="K14" s="92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1370.6679999999999</v>
      </c>
      <c r="H15" s="23">
        <f>H16+H17+H20+H23</f>
        <v>1370.6679999999999</v>
      </c>
      <c r="I15" s="23">
        <f>I16+I17+I20+I23</f>
        <v>0</v>
      </c>
      <c r="J15" s="23">
        <f>J16+J17+J20+J23</f>
        <v>0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1370.6679999999999</v>
      </c>
      <c r="H23" s="23">
        <f>SUM(H24:H26)</f>
        <v>1370.6679999999999</v>
      </c>
      <c r="I23" s="23">
        <f>SUM(I24:I26)</f>
        <v>0</v>
      </c>
      <c r="J23" s="23">
        <f>SUM(J24:J26)</f>
        <v>0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1370.6679999999999</v>
      </c>
      <c r="H25" s="42">
        <v>1370.6679999999999</v>
      </c>
      <c r="I25" s="42">
        <v>0</v>
      </c>
      <c r="J25" s="42"/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2630.8279999999995</v>
      </c>
      <c r="H27" s="23">
        <f>H29+H30+H31</f>
        <v>0</v>
      </c>
      <c r="I27" s="23">
        <f>I28+I30+I31</f>
        <v>0</v>
      </c>
      <c r="J27" s="23">
        <f>J28+J29+J31</f>
        <v>1370.6679999999999</v>
      </c>
      <c r="K27" s="23">
        <f>K28+K29+K30</f>
        <v>1260.1599999999999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1370.6679999999999</v>
      </c>
      <c r="H28" s="45"/>
      <c r="I28" s="27"/>
      <c r="J28" s="27">
        <f>H25</f>
        <v>1370.6679999999999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1260.1599999999999</v>
      </c>
      <c r="H30" s="27"/>
      <c r="I30" s="27"/>
      <c r="J30" s="45"/>
      <c r="K30" s="27">
        <f>H25+J25-J36-J46</f>
        <v>1260.1599999999999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1283.806</v>
      </c>
      <c r="H33" s="23">
        <f>H34+H36+H39+H42</f>
        <v>0</v>
      </c>
      <c r="I33" s="23">
        <f>I34+I36+I39+I42</f>
        <v>0</v>
      </c>
      <c r="J33" s="23">
        <f>J34+J36+J39+J42</f>
        <v>110.508</v>
      </c>
      <c r="K33" s="23">
        <f>K34+K36+K39+K42</f>
        <v>1173.298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1283.806</v>
      </c>
      <c r="H36" s="27">
        <v>0</v>
      </c>
      <c r="I36" s="27">
        <v>0</v>
      </c>
      <c r="J36" s="27">
        <v>110.508</v>
      </c>
      <c r="K36" s="27">
        <v>1173.298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2630.8279999999995</v>
      </c>
      <c r="H43" s="27">
        <f>J28</f>
        <v>1370.6679999999999</v>
      </c>
      <c r="I43" s="27"/>
      <c r="J43" s="27">
        <f>K30</f>
        <v>1260.1599999999999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86.861999999999853</v>
      </c>
      <c r="H46" s="27"/>
      <c r="I46" s="27"/>
      <c r="J46" s="27"/>
      <c r="K46" s="27">
        <f>G25-G36</f>
        <v>86.861999999999853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/>
      <c r="K47" s="27"/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48.800000000000004</v>
      </c>
      <c r="H48" s="27"/>
      <c r="I48" s="27"/>
      <c r="J48" s="27"/>
      <c r="K48" s="27">
        <f>0.0488*1000</f>
        <v>48.800000000000004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38.061999999999848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38.061999999999848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90" t="s">
        <v>109</v>
      </c>
      <c r="E51" s="91"/>
      <c r="F51" s="91"/>
      <c r="G51" s="91"/>
      <c r="H51" s="91"/>
      <c r="I51" s="91"/>
      <c r="J51" s="91"/>
      <c r="K51" s="92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2.3351799999999998</v>
      </c>
      <c r="H52" s="23">
        <f>H53+H54+H57+H60</f>
        <v>2.3351799999999998</v>
      </c>
      <c r="I52" s="23">
        <f>I53+I54+I57+I60</f>
        <v>0</v>
      </c>
      <c r="J52" s="23">
        <f>J53+J54+J57+J60</f>
        <v>0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2.3351799999999998</v>
      </c>
      <c r="H60" s="23">
        <f>SUM(H61:H63)</f>
        <v>2.3351799999999998</v>
      </c>
      <c r="I60" s="23">
        <f>SUM(I61:I63)</f>
        <v>0</v>
      </c>
      <c r="J60" s="23">
        <f>SUM(J61:J63)</f>
        <v>0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2.3351799999999998</v>
      </c>
      <c r="H62" s="52">
        <v>2.3351799999999998</v>
      </c>
      <c r="I62" s="52">
        <v>0</v>
      </c>
      <c r="J62" s="52"/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4.4803599999999992</v>
      </c>
      <c r="H64" s="23">
        <f>H66+H67+H68</f>
        <v>0</v>
      </c>
      <c r="I64" s="23">
        <f>I65+I67+I68</f>
        <v>0</v>
      </c>
      <c r="J64" s="23">
        <f>J65+J66+J68</f>
        <v>2.3351799999999998</v>
      </c>
      <c r="K64" s="23">
        <f>K65+K66+K67</f>
        <v>2.1451799999999999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2.3351799999999998</v>
      </c>
      <c r="H65" s="45"/>
      <c r="I65" s="27"/>
      <c r="J65" s="27">
        <f>H62</f>
        <v>2.3351799999999998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2.1451799999999999</v>
      </c>
      <c r="H67" s="27"/>
      <c r="I67" s="27"/>
      <c r="J67" s="45"/>
      <c r="K67" s="27">
        <f>K73+K83</f>
        <v>2.1451799999999999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2.2029999999999998</v>
      </c>
      <c r="H70" s="23">
        <f>H71+H73+H76+H79</f>
        <v>0</v>
      </c>
      <c r="I70" s="23">
        <f>I71+I73+I76+I79</f>
        <v>0</v>
      </c>
      <c r="J70" s="23">
        <f>J71+J73+J76+J79</f>
        <v>0.19</v>
      </c>
      <c r="K70" s="23">
        <f>K71+K73+K76+K79</f>
        <v>2.0129999999999999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2.2029999999999998</v>
      </c>
      <c r="H73" s="27">
        <v>0</v>
      </c>
      <c r="I73" s="27">
        <v>0</v>
      </c>
      <c r="J73" s="27">
        <v>0.19</v>
      </c>
      <c r="K73" s="27">
        <v>2.0129999999999999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4.4803599999999992</v>
      </c>
      <c r="H80" s="27">
        <f>H62</f>
        <v>2.3351799999999998</v>
      </c>
      <c r="I80" s="27"/>
      <c r="J80" s="27">
        <f>K67</f>
        <v>2.1451799999999999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0.13217999999999996</v>
      </c>
      <c r="H83" s="27"/>
      <c r="I83" s="27"/>
      <c r="J83" s="27"/>
      <c r="K83" s="27">
        <f>G62-G73</f>
        <v>0.13217999999999996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0.1166</v>
      </c>
      <c r="H85" s="27"/>
      <c r="I85" s="27"/>
      <c r="J85" s="27"/>
      <c r="K85" s="27">
        <v>0.1166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1.5579999999999969E-2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1.5579999999999969E-2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90" t="s">
        <v>170</v>
      </c>
      <c r="E88" s="91"/>
      <c r="F88" s="91"/>
      <c r="G88" s="91"/>
      <c r="H88" s="91"/>
      <c r="I88" s="91"/>
      <c r="J88" s="91"/>
      <c r="K88" s="92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2.2029999999999998</v>
      </c>
      <c r="H89" s="27"/>
      <c r="I89" s="27"/>
      <c r="J89" s="42">
        <f>J73</f>
        <v>0.19</v>
      </c>
      <c r="K89" s="42">
        <f>K73</f>
        <v>2.0129999999999999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90" t="s">
        <v>180</v>
      </c>
      <c r="E92" s="91"/>
      <c r="F92" s="91"/>
      <c r="G92" s="91"/>
      <c r="H92" s="91"/>
      <c r="I92" s="91"/>
      <c r="J92" s="91"/>
      <c r="K92" s="92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1283.806</v>
      </c>
      <c r="H120" s="57">
        <f>SUM(H121:H122)</f>
        <v>0</v>
      </c>
      <c r="I120" s="57">
        <f>SUM(I121:I122)</f>
        <v>0</v>
      </c>
      <c r="J120" s="57">
        <f>SUM(J121:J122)</f>
        <v>110.508</v>
      </c>
      <c r="K120" s="57">
        <f>SUM(K121:K122)</f>
        <v>1173.298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1283.806</v>
      </c>
      <c r="H121" s="56"/>
      <c r="I121" s="56"/>
      <c r="J121" s="56">
        <f>J36</f>
        <v>110.508</v>
      </c>
      <c r="K121" s="56">
        <f>K36</f>
        <v>1173.298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90" t="s">
        <v>268</v>
      </c>
      <c r="E125" s="91"/>
      <c r="F125" s="91"/>
      <c r="G125" s="91"/>
      <c r="H125" s="91"/>
      <c r="I125" s="91"/>
      <c r="J125" s="91"/>
      <c r="K125" s="92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1934.6956419999999</v>
      </c>
      <c r="H142" s="64">
        <f>SUM( H143:H144)</f>
        <v>0</v>
      </c>
      <c r="I142" s="64">
        <f>SUM( I143:I144)</f>
        <v>0</v>
      </c>
      <c r="J142" s="64">
        <f>SUM( J143:J144)</f>
        <v>166.53555599999999</v>
      </c>
      <c r="K142" s="64">
        <f>SUM( K143:K144)</f>
        <v>1768.1600859999999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1934.6956419999999</v>
      </c>
      <c r="H143" s="63"/>
      <c r="I143" s="63"/>
      <c r="J143" s="65">
        <f>J121*1.507</f>
        <v>166.53555599999999</v>
      </c>
      <c r="K143" s="65">
        <f>K121*1.507</f>
        <v>1768.1600859999999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83" t="str">
        <f>IF([1]Титульный!G45="","",[1]Титульный!G45)</f>
        <v>Коммерческий директор</v>
      </c>
      <c r="G148" s="83"/>
      <c r="H148" s="70"/>
      <c r="I148" s="83" t="str">
        <f>IF([11]Титульный!G44="","",[11]Титульный!G44)</f>
        <v>Байков Алексей Александрович</v>
      </c>
      <c r="J148" s="83"/>
      <c r="K148" s="83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93" t="s">
        <v>322</v>
      </c>
      <c r="G149" s="93"/>
      <c r="H149" s="72"/>
      <c r="I149" s="93" t="s">
        <v>323</v>
      </c>
      <c r="J149" s="93"/>
      <c r="K149" s="93"/>
      <c r="L149" s="72"/>
      <c r="M149" s="93" t="s">
        <v>324</v>
      </c>
      <c r="N149" s="93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83" t="str">
        <f>IF([1]Титульный!G46="","",[1]Титульный!G46)</f>
        <v>(495) 637 3220</v>
      </c>
      <c r="G151" s="83"/>
      <c r="H151" s="83"/>
      <c r="I151" s="24"/>
      <c r="J151" s="73" t="s">
        <v>327</v>
      </c>
      <c r="K151" s="78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94" t="s">
        <v>329</v>
      </c>
      <c r="G152" s="94"/>
      <c r="H152" s="94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9:G149"/>
    <mergeCell ref="I149:K149"/>
    <mergeCell ref="M149:N149"/>
    <mergeCell ref="F151:H151"/>
    <mergeCell ref="F152:H152"/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="60" zoomScaleNormal="100" workbookViewId="0">
      <selection activeCell="N49" sqref="N4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4" t="s">
        <v>11</v>
      </c>
      <c r="E8" s="8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5" t="s">
        <v>13</v>
      </c>
      <c r="E11" s="87" t="s">
        <v>14</v>
      </c>
      <c r="F11" s="87" t="s">
        <v>15</v>
      </c>
      <c r="G11" s="87" t="s">
        <v>16</v>
      </c>
      <c r="H11" s="87" t="s">
        <v>17</v>
      </c>
      <c r="I11" s="87"/>
      <c r="J11" s="87"/>
      <c r="K11" s="89"/>
      <c r="L11" s="13"/>
    </row>
    <row r="12" spans="1:77" ht="15" customHeight="1" x14ac:dyDescent="0.25">
      <c r="C12" s="6"/>
      <c r="D12" s="86"/>
      <c r="E12" s="88"/>
      <c r="F12" s="88"/>
      <c r="G12" s="88"/>
      <c r="H12" s="14" t="s">
        <v>18</v>
      </c>
      <c r="I12" s="14" t="s">
        <v>19</v>
      </c>
      <c r="J12" s="14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90" t="s">
        <v>22</v>
      </c>
      <c r="E14" s="91"/>
      <c r="F14" s="91"/>
      <c r="G14" s="91"/>
      <c r="H14" s="91"/>
      <c r="I14" s="91"/>
      <c r="J14" s="91"/>
      <c r="K14" s="92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4381.4659999999994</v>
      </c>
      <c r="H15" s="23">
        <f>H16+H17+H20+H23</f>
        <v>4381.4659999999994</v>
      </c>
      <c r="I15" s="23">
        <f>I16+I17+I20+I23</f>
        <v>0</v>
      </c>
      <c r="J15" s="23">
        <f>J16+J17+J20+J23</f>
        <v>0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4381.4659999999994</v>
      </c>
      <c r="H23" s="23">
        <f>SUM(H24:H26)</f>
        <v>4381.4659999999994</v>
      </c>
      <c r="I23" s="23">
        <f>SUM(I24:I26)</f>
        <v>0</v>
      </c>
      <c r="J23" s="23">
        <f>SUM(J24:J26)</f>
        <v>0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4381.4659999999994</v>
      </c>
      <c r="H25" s="42">
        <f>апрель!H25+май!H25+июнь!H25</f>
        <v>4381.4659999999994</v>
      </c>
      <c r="I25" s="42">
        <v>0</v>
      </c>
      <c r="J25" s="42">
        <f>апрель!J25+май!J25+июнь!J25</f>
        <v>0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8312.2259999999987</v>
      </c>
      <c r="H27" s="23">
        <f>H29+H30+H31</f>
        <v>0</v>
      </c>
      <c r="I27" s="23">
        <f>I28+I30+I31</f>
        <v>0</v>
      </c>
      <c r="J27" s="23">
        <f>J28+J29+J31</f>
        <v>4381.4659999999994</v>
      </c>
      <c r="K27" s="23">
        <f>K28+K29+K30</f>
        <v>3930.7599999999993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4381.4659999999994</v>
      </c>
      <c r="H28" s="45"/>
      <c r="I28" s="27"/>
      <c r="J28" s="27">
        <f>H25</f>
        <v>4381.4659999999994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3930.7599999999993</v>
      </c>
      <c r="H30" s="27"/>
      <c r="I30" s="27"/>
      <c r="J30" s="45"/>
      <c r="K30" s="27">
        <f>H25+J25-J36-J46</f>
        <v>3930.7599999999993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4157.442</v>
      </c>
      <c r="H33" s="23">
        <f>H34+H36+H39+H42</f>
        <v>0</v>
      </c>
      <c r="I33" s="23">
        <f>I34+I36+I39+I42</f>
        <v>0</v>
      </c>
      <c r="J33" s="23">
        <f>J34+J36+J39+J42</f>
        <v>450.70599999999996</v>
      </c>
      <c r="K33" s="23">
        <f>K34+K36+K39+K42</f>
        <v>3706.7359999999999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4157.442</v>
      </c>
      <c r="H36" s="27">
        <v>0</v>
      </c>
      <c r="I36" s="27">
        <v>0</v>
      </c>
      <c r="J36" s="42">
        <f>апрель!J36+май!J36+июнь!J36</f>
        <v>450.70599999999996</v>
      </c>
      <c r="K36" s="42">
        <f>апрель!K36+май!K36+июнь!K36</f>
        <v>3706.7359999999999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8312.2259999999987</v>
      </c>
      <c r="H43" s="27">
        <f>J28</f>
        <v>4381.4659999999994</v>
      </c>
      <c r="I43" s="27"/>
      <c r="J43" s="27">
        <f>K30</f>
        <v>3930.7599999999993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224.02399999999943</v>
      </c>
      <c r="H46" s="27"/>
      <c r="I46" s="27"/>
      <c r="J46" s="27"/>
      <c r="K46" s="27">
        <f>G25-G36</f>
        <v>224.02399999999943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183.4</v>
      </c>
      <c r="H48" s="27"/>
      <c r="I48" s="27"/>
      <c r="J48" s="42">
        <f>апрель!J48+май!J48+июнь!J48</f>
        <v>0</v>
      </c>
      <c r="K48" s="42">
        <f>апрель!K48+май!K48+июнь!K48</f>
        <v>183.4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40.623999999999427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40.623999999999427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90" t="s">
        <v>109</v>
      </c>
      <c r="E51" s="91"/>
      <c r="F51" s="91"/>
      <c r="G51" s="91"/>
      <c r="H51" s="91"/>
      <c r="I51" s="91"/>
      <c r="J51" s="91"/>
      <c r="K51" s="92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2.5494048599999997</v>
      </c>
      <c r="H52" s="23">
        <f>H53+H54+H57+H60</f>
        <v>2.5494048599999997</v>
      </c>
      <c r="I52" s="23">
        <f>I53+I54+I57+I60</f>
        <v>0</v>
      </c>
      <c r="J52" s="23">
        <f>J53+J54+J57+J60</f>
        <v>0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2.5494048599999997</v>
      </c>
      <c r="H60" s="23">
        <f>SUM(H61:H63)</f>
        <v>2.5494048599999997</v>
      </c>
      <c r="I60" s="23">
        <f>SUM(I61:I63)</f>
        <v>0</v>
      </c>
      <c r="J60" s="23">
        <f>SUM(J61:J63)</f>
        <v>0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2.5494048599999997</v>
      </c>
      <c r="H62" s="42">
        <f>(апрель!H62+май!H62+июнь!H62)/3</f>
        <v>2.5494048599999997</v>
      </c>
      <c r="I62" s="52">
        <v>0</v>
      </c>
      <c r="J62" s="42">
        <f>(апрель!J62+май!J62+июнь!J62)/3</f>
        <v>0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4.7681430533333327</v>
      </c>
      <c r="H64" s="23">
        <f>H66+H67+H68</f>
        <v>0</v>
      </c>
      <c r="I64" s="23">
        <f>I65+I67+I68</f>
        <v>0</v>
      </c>
      <c r="J64" s="23">
        <f>J65+J66+J68</f>
        <v>2.5494048599999997</v>
      </c>
      <c r="K64" s="23">
        <f>K65+K66+K67</f>
        <v>2.218738193333333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2.5494048599999997</v>
      </c>
      <c r="H65" s="45"/>
      <c r="I65" s="27"/>
      <c r="J65" s="27">
        <f>H62</f>
        <v>2.5494048599999997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2.218738193333333</v>
      </c>
      <c r="H67" s="27"/>
      <c r="I67" s="27"/>
      <c r="J67" s="45"/>
      <c r="K67" s="27">
        <f>K73+K83</f>
        <v>2.218738193333333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2.4616666666666664</v>
      </c>
      <c r="H70" s="23">
        <f>H71+H73+H76+H79</f>
        <v>0</v>
      </c>
      <c r="I70" s="23">
        <f>I71+I73+I76+I79</f>
        <v>0</v>
      </c>
      <c r="J70" s="23">
        <f>J71+J73+J76+J79</f>
        <v>0.33066666666666666</v>
      </c>
      <c r="K70" s="23">
        <f>K71+K73+K76+K79</f>
        <v>2.1309999999999998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2.4616666666666664</v>
      </c>
      <c r="H73" s="27">
        <v>0</v>
      </c>
      <c r="I73" s="27">
        <v>0</v>
      </c>
      <c r="J73" s="42">
        <f>(апрель!J73+май!J73+июнь!J73)/3</f>
        <v>0.33066666666666666</v>
      </c>
      <c r="K73" s="42">
        <f>(апрель!K73+май!K73+июнь!K73)/3</f>
        <v>2.1309999999999998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4.7681430533333327</v>
      </c>
      <c r="H80" s="27">
        <f>H62</f>
        <v>2.5494048599999997</v>
      </c>
      <c r="I80" s="27"/>
      <c r="J80" s="27">
        <f>K67</f>
        <v>2.218738193333333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8.7738193333333214E-2</v>
      </c>
      <c r="H83" s="27"/>
      <c r="I83" s="27"/>
      <c r="J83" s="27"/>
      <c r="K83" s="27">
        <f>G62-G73</f>
        <v>8.7738193333333214E-2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0.13603333333333331</v>
      </c>
      <c r="H85" s="27"/>
      <c r="I85" s="27"/>
      <c r="J85" s="42">
        <f>(апрель!J85+май!J85+июнь!J85)/3</f>
        <v>0</v>
      </c>
      <c r="K85" s="42">
        <f>(апрель!K85+май!K85+июнь!K85)/3</f>
        <v>0.13603333333333331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-4.8295140000000097E-2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-4.8295140000000097E-2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90" t="s">
        <v>170</v>
      </c>
      <c r="E88" s="91"/>
      <c r="F88" s="91"/>
      <c r="G88" s="91"/>
      <c r="H88" s="91"/>
      <c r="I88" s="91"/>
      <c r="J88" s="91"/>
      <c r="K88" s="92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2.4616666666666664</v>
      </c>
      <c r="H89" s="27"/>
      <c r="I89" s="27"/>
      <c r="J89" s="42">
        <f>J73</f>
        <v>0.33066666666666666</v>
      </c>
      <c r="K89" s="42">
        <f>K73</f>
        <v>2.1309999999999998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90" t="s">
        <v>180</v>
      </c>
      <c r="E92" s="91"/>
      <c r="F92" s="91"/>
      <c r="G92" s="91"/>
      <c r="H92" s="91"/>
      <c r="I92" s="91"/>
      <c r="J92" s="91"/>
      <c r="K92" s="92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4157.442</v>
      </c>
      <c r="H120" s="57">
        <f>SUM(H121:H122)</f>
        <v>0</v>
      </c>
      <c r="I120" s="57">
        <f>SUM(I121:I122)</f>
        <v>0</v>
      </c>
      <c r="J120" s="57">
        <f>SUM(J121:J122)</f>
        <v>450.70599999999996</v>
      </c>
      <c r="K120" s="57">
        <f>SUM(K121:K122)</f>
        <v>3706.7359999999999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4157.442</v>
      </c>
      <c r="H121" s="56"/>
      <c r="I121" s="56"/>
      <c r="J121" s="56">
        <f>J36</f>
        <v>450.70599999999996</v>
      </c>
      <c r="K121" s="56">
        <f>K36</f>
        <v>3706.7359999999999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90" t="s">
        <v>268</v>
      </c>
      <c r="E125" s="91"/>
      <c r="F125" s="91"/>
      <c r="G125" s="91"/>
      <c r="H125" s="91"/>
      <c r="I125" s="91"/>
      <c r="J125" s="91"/>
      <c r="K125" s="92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6053.2355520000001</v>
      </c>
      <c r="H142" s="64">
        <f>SUM( H143:H144)</f>
        <v>0</v>
      </c>
      <c r="I142" s="64">
        <f>SUM( I143:I144)</f>
        <v>0</v>
      </c>
      <c r="J142" s="64">
        <f>SUM( J143:J144)</f>
        <v>656.22793599999989</v>
      </c>
      <c r="K142" s="64">
        <f>SUM( K143:K144)</f>
        <v>5397.0076159999999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6053.2355520000001</v>
      </c>
      <c r="H143" s="63"/>
      <c r="I143" s="63"/>
      <c r="J143" s="65">
        <f>J121*1.456</f>
        <v>656.22793599999989</v>
      </c>
      <c r="K143" s="65">
        <f>K121*1.456</f>
        <v>5397.0076159999999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83" t="str">
        <f>IF([1]Титульный!G45="","",[1]Титульный!G45)</f>
        <v>Коммерческий директор</v>
      </c>
      <c r="G148" s="83"/>
      <c r="H148" s="70"/>
      <c r="I148" s="83" t="str">
        <f>IF([1]Титульный!G44="","",[1]Титульный!G44)</f>
        <v>Байков Алексей Александрович</v>
      </c>
      <c r="J148" s="83"/>
      <c r="K148" s="83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93" t="s">
        <v>322</v>
      </c>
      <c r="G149" s="93"/>
      <c r="H149" s="72"/>
      <c r="I149" s="93" t="s">
        <v>323</v>
      </c>
      <c r="J149" s="93"/>
      <c r="K149" s="93"/>
      <c r="L149" s="72"/>
      <c r="M149" s="93" t="s">
        <v>324</v>
      </c>
      <c r="N149" s="93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83" t="str">
        <f>IF([1]Титульный!G46="","",[1]Титульный!G46)</f>
        <v>(495) 637 3220</v>
      </c>
      <c r="G151" s="83"/>
      <c r="H151" s="83"/>
      <c r="I151" s="24"/>
      <c r="J151" s="73" t="s">
        <v>327</v>
      </c>
      <c r="K151" s="74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94" t="s">
        <v>329</v>
      </c>
      <c r="G152" s="94"/>
      <c r="H152" s="94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9:G149"/>
    <mergeCell ref="I149:K149"/>
    <mergeCell ref="M149:N149"/>
    <mergeCell ref="F151:H151"/>
    <mergeCell ref="F152:H152"/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</mergeCells>
  <dataValidations count="2">
    <dataValidation type="decimal" allowBlank="1" showErrorMessage="1" errorTitle="Ошибка" error="Допускается ввод только действительных чисел!" sqref="G23:K25 G89:K91 G93:K124 G52:K55 G42:K50 G64:K77 G20:K21 G60:K62 G27:K40 G15:K18 G126:K146 G57:K58 G79:K87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25 E62"/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Normal="100" zoomScaleSheetLayoutView="100" workbookViewId="0">
      <selection activeCell="G9" sqref="G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4" t="s">
        <v>11</v>
      </c>
      <c r="E8" s="84"/>
      <c r="F8" s="9"/>
      <c r="G8" s="9" t="s">
        <v>338</v>
      </c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5" t="s">
        <v>13</v>
      </c>
      <c r="E11" s="87" t="s">
        <v>14</v>
      </c>
      <c r="F11" s="87" t="s">
        <v>15</v>
      </c>
      <c r="G11" s="87" t="s">
        <v>16</v>
      </c>
      <c r="H11" s="87" t="s">
        <v>17</v>
      </c>
      <c r="I11" s="87"/>
      <c r="J11" s="87"/>
      <c r="K11" s="89"/>
      <c r="L11" s="13"/>
    </row>
    <row r="12" spans="1:77" ht="15" customHeight="1" x14ac:dyDescent="0.25">
      <c r="C12" s="6"/>
      <c r="D12" s="86"/>
      <c r="E12" s="88"/>
      <c r="F12" s="88"/>
      <c r="G12" s="88"/>
      <c r="H12" s="14" t="s">
        <v>18</v>
      </c>
      <c r="I12" s="14" t="s">
        <v>19</v>
      </c>
      <c r="J12" s="14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90" t="s">
        <v>22</v>
      </c>
      <c r="E14" s="91"/>
      <c r="F14" s="91"/>
      <c r="G14" s="91"/>
      <c r="H14" s="91"/>
      <c r="I14" s="91"/>
      <c r="J14" s="91"/>
      <c r="K14" s="92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9502.6729999999989</v>
      </c>
      <c r="H15" s="23">
        <f>H16+H17+H20+H23</f>
        <v>9502.6729999999989</v>
      </c>
      <c r="I15" s="23">
        <f>I16+I17+I20+I23</f>
        <v>0</v>
      </c>
      <c r="J15" s="23">
        <f>J16+J17+J20+J23</f>
        <v>0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9502.6729999999989</v>
      </c>
      <c r="H23" s="23">
        <f>SUM(H24:H26)</f>
        <v>9502.6729999999989</v>
      </c>
      <c r="I23" s="23">
        <f>SUM(I24:I26)</f>
        <v>0</v>
      </c>
      <c r="J23" s="23">
        <f>SUM(J24:J26)</f>
        <v>0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9502.6729999999989</v>
      </c>
      <c r="H25" s="42">
        <f>'1квартал'!H25+'2квартал'!H25</f>
        <v>9502.6729999999989</v>
      </c>
      <c r="I25" s="42">
        <v>0</v>
      </c>
      <c r="J25" s="42">
        <f>'1квартал'!J25+'2квартал'!J25</f>
        <v>0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17840.57</v>
      </c>
      <c r="H27" s="23">
        <f>H29+H30+H31</f>
        <v>0</v>
      </c>
      <c r="I27" s="23">
        <f>I28+I30+I31</f>
        <v>0</v>
      </c>
      <c r="J27" s="23">
        <f>J28+J29+J31</f>
        <v>9502.6729999999989</v>
      </c>
      <c r="K27" s="23">
        <f>K28+K29+K30</f>
        <v>8337.896999999999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9502.6729999999989</v>
      </c>
      <c r="H28" s="45"/>
      <c r="I28" s="27"/>
      <c r="J28" s="27">
        <f>H25</f>
        <v>9502.6729999999989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8337.896999999999</v>
      </c>
      <c r="H30" s="27"/>
      <c r="I30" s="27"/>
      <c r="J30" s="45"/>
      <c r="K30" s="27">
        <f>H25+J25-J36-J46</f>
        <v>8337.896999999999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9167.1810000000005</v>
      </c>
      <c r="H33" s="23">
        <f>H34+H36+H39+H42</f>
        <v>0</v>
      </c>
      <c r="I33" s="23">
        <f>I34+I36+I39+I42</f>
        <v>0</v>
      </c>
      <c r="J33" s="23">
        <f>J34+J36+J39+J42</f>
        <v>1164.7759999999998</v>
      </c>
      <c r="K33" s="23">
        <f>K34+K36+K39+K42</f>
        <v>8002.4049999999997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9167.1810000000005</v>
      </c>
      <c r="H36" s="27">
        <v>0</v>
      </c>
      <c r="I36" s="27">
        <v>0</v>
      </c>
      <c r="J36" s="42">
        <f>'1квартал'!J36+'2квартал'!J36</f>
        <v>1164.7759999999998</v>
      </c>
      <c r="K36" s="42">
        <f>'1квартал'!K36+'2квартал'!K36</f>
        <v>8002.4049999999997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17840.57</v>
      </c>
      <c r="H43" s="27">
        <f>J28</f>
        <v>9502.6729999999989</v>
      </c>
      <c r="I43" s="27"/>
      <c r="J43" s="27">
        <f>K30</f>
        <v>8337.896999999999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335.49199999999837</v>
      </c>
      <c r="H46" s="27"/>
      <c r="I46" s="27"/>
      <c r="J46" s="27"/>
      <c r="K46" s="27">
        <f>G25-G36</f>
        <v>335.49199999999837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183.4</v>
      </c>
      <c r="H48" s="27"/>
      <c r="I48" s="27"/>
      <c r="J48" s="42">
        <f>апрель!J48+май!J48+июнь!J48</f>
        <v>0</v>
      </c>
      <c r="K48" s="42">
        <f>апрель!K48+май!K48+июнь!K48</f>
        <v>183.4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152.09199999999836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152.09199999999836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90" t="s">
        <v>109</v>
      </c>
      <c r="E51" s="91"/>
      <c r="F51" s="91"/>
      <c r="G51" s="91"/>
      <c r="H51" s="91"/>
      <c r="I51" s="91"/>
      <c r="J51" s="91"/>
      <c r="K51" s="92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3.6850357633333335</v>
      </c>
      <c r="H52" s="23">
        <f>H53+H54+H57+H60</f>
        <v>3.3337190966666665</v>
      </c>
      <c r="I52" s="23">
        <f>I53+I54+I57+I60</f>
        <v>0</v>
      </c>
      <c r="J52" s="23">
        <f>J53+J54+J57+J60</f>
        <v>0.35131666666666672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3.6850357633333335</v>
      </c>
      <c r="H60" s="23">
        <f>SUM(H61:H63)</f>
        <v>3.3337190966666665</v>
      </c>
      <c r="I60" s="23">
        <f>SUM(I61:I63)</f>
        <v>0</v>
      </c>
      <c r="J60" s="23">
        <f>SUM(J61:J63)</f>
        <v>0.35131666666666672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3.6850357633333335</v>
      </c>
      <c r="H62" s="42">
        <f>(январь!H62+февраль!H62+март!H62+апрель!H62+май!H62+июнь!H62)/6</f>
        <v>3.3337190966666665</v>
      </c>
      <c r="I62" s="52">
        <v>0</v>
      </c>
      <c r="J62" s="42">
        <f>(январь!J62+февраль!J62+март!J62+апрель!J62+май!J62+июнь!J62)/6</f>
        <v>0.35131666666666672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6.2907535266666663</v>
      </c>
      <c r="H64" s="23">
        <f>H66+H67+H68</f>
        <v>0</v>
      </c>
      <c r="I64" s="23">
        <f>I65+I67+I68</f>
        <v>0</v>
      </c>
      <c r="J64" s="23">
        <f>J65+J66+J68</f>
        <v>3.3337190966666665</v>
      </c>
      <c r="K64" s="23">
        <f>K65+K66+K67</f>
        <v>2.9570344300000002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3.3337190966666665</v>
      </c>
      <c r="H65" s="45"/>
      <c r="I65" s="27"/>
      <c r="J65" s="27">
        <f>H62</f>
        <v>3.3337190966666665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2.9570344300000002</v>
      </c>
      <c r="H67" s="27"/>
      <c r="I67" s="27"/>
      <c r="J67" s="45"/>
      <c r="K67" s="27">
        <f>K73+K83</f>
        <v>2.9570344300000002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3.5399666666666665</v>
      </c>
      <c r="H70" s="23">
        <f>H71+H73+H76+H79</f>
        <v>0</v>
      </c>
      <c r="I70" s="23">
        <f>I71+I73+I76+I79</f>
        <v>0</v>
      </c>
      <c r="J70" s="23">
        <f>J71+J73+J76+J79</f>
        <v>0.72800133333333328</v>
      </c>
      <c r="K70" s="23">
        <f>K71+K73+K76+K79</f>
        <v>2.8119653333333332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3.5399666666666665</v>
      </c>
      <c r="H73" s="27">
        <v>0</v>
      </c>
      <c r="I73" s="27">
        <v>0</v>
      </c>
      <c r="J73" s="42">
        <f>(январь!J73+февраль!J73+март!J73+апрель!J73+май!J73+июнь!J73)/6</f>
        <v>0.72800133333333328</v>
      </c>
      <c r="K73" s="42">
        <f>(январь!K73+февраль!K73+март!K73+апрель!K73+май!K73+июнь!K73)/6</f>
        <v>2.8119653333333332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6.2907535266666663</v>
      </c>
      <c r="H80" s="27">
        <f>H62</f>
        <v>3.3337190966666665</v>
      </c>
      <c r="I80" s="27"/>
      <c r="J80" s="27">
        <f>K67</f>
        <v>2.9570344300000002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0.14506909666666701</v>
      </c>
      <c r="H83" s="27"/>
      <c r="I83" s="27"/>
      <c r="J83" s="27"/>
      <c r="K83" s="27">
        <f>G62-G73</f>
        <v>0.14506909666666701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0.17474999999999999</v>
      </c>
      <c r="H85" s="27"/>
      <c r="I85" s="27"/>
      <c r="J85" s="42">
        <f>(январь!J85+февраль!J85+март!J85+апрель!J85+май!J85+июнь!J85)/6</f>
        <v>0</v>
      </c>
      <c r="K85" s="42">
        <f>(январь!K85+февраль!K85+март!K85+апрель!K85+май!K85+июнь!K85)/6</f>
        <v>0.17474999999999999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-2.9680903333332981E-2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-2.9680903333332981E-2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90" t="s">
        <v>170</v>
      </c>
      <c r="E88" s="91"/>
      <c r="F88" s="91"/>
      <c r="G88" s="91"/>
      <c r="H88" s="91"/>
      <c r="I88" s="91"/>
      <c r="J88" s="91"/>
      <c r="K88" s="92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3.5399666666666665</v>
      </c>
      <c r="H89" s="27"/>
      <c r="I89" s="27"/>
      <c r="J89" s="42">
        <f>J73</f>
        <v>0.72800133333333328</v>
      </c>
      <c r="K89" s="42">
        <f>K73</f>
        <v>2.8119653333333332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90" t="s">
        <v>180</v>
      </c>
      <c r="E92" s="91"/>
      <c r="F92" s="91"/>
      <c r="G92" s="91"/>
      <c r="H92" s="91"/>
      <c r="I92" s="91"/>
      <c r="J92" s="91"/>
      <c r="K92" s="92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9167.1810000000005</v>
      </c>
      <c r="H120" s="57">
        <f>SUM(H121:H122)</f>
        <v>0</v>
      </c>
      <c r="I120" s="57">
        <f>SUM(I121:I122)</f>
        <v>0</v>
      </c>
      <c r="J120" s="57">
        <f>SUM(J121:J122)</f>
        <v>1164.7759999999998</v>
      </c>
      <c r="K120" s="57">
        <f>SUM(K121:K122)</f>
        <v>8002.4049999999997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9167.1810000000005</v>
      </c>
      <c r="H121" s="56"/>
      <c r="I121" s="56"/>
      <c r="J121" s="56">
        <f>J36</f>
        <v>1164.7759999999998</v>
      </c>
      <c r="K121" s="56">
        <f>K36</f>
        <v>8002.4049999999997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90" t="s">
        <v>268</v>
      </c>
      <c r="E125" s="91"/>
      <c r="F125" s="91"/>
      <c r="G125" s="91"/>
      <c r="H125" s="91"/>
      <c r="I125" s="91"/>
      <c r="J125" s="91"/>
      <c r="K125" s="92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13347.415535999999</v>
      </c>
      <c r="H142" s="64">
        <f>SUM( H143:H144)</f>
        <v>0</v>
      </c>
      <c r="I142" s="64">
        <f>SUM( I143:I144)</f>
        <v>0</v>
      </c>
      <c r="J142" s="64">
        <f>SUM( J143:J144)</f>
        <v>1695.9138559999997</v>
      </c>
      <c r="K142" s="64">
        <f>SUM( K143:K144)</f>
        <v>11651.501679999999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13347.415535999999</v>
      </c>
      <c r="H143" s="63"/>
      <c r="I143" s="63"/>
      <c r="J143" s="65">
        <f>J121*1.456</f>
        <v>1695.9138559999997</v>
      </c>
      <c r="K143" s="65">
        <f>K121*1.456</f>
        <v>11651.501679999999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83" t="str">
        <f>IF([1]Титульный!G45="","",[1]Титульный!G45)</f>
        <v>Коммерческий директор</v>
      </c>
      <c r="G148" s="83"/>
      <c r="H148" s="70"/>
      <c r="I148" s="83" t="str">
        <f>IF([1]Титульный!G44="","",[1]Титульный!G44)</f>
        <v>Байков Алексей Александрович</v>
      </c>
      <c r="J148" s="83"/>
      <c r="K148" s="83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93" t="s">
        <v>322</v>
      </c>
      <c r="G149" s="93"/>
      <c r="H149" s="72"/>
      <c r="I149" s="93" t="s">
        <v>323</v>
      </c>
      <c r="J149" s="93"/>
      <c r="K149" s="93"/>
      <c r="L149" s="72"/>
      <c r="M149" s="93" t="s">
        <v>324</v>
      </c>
      <c r="N149" s="93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83" t="str">
        <f>IF([1]Титульный!G46="","",[1]Титульный!G46)</f>
        <v>(495) 637 3220</v>
      </c>
      <c r="G151" s="83"/>
      <c r="H151" s="83"/>
      <c r="I151" s="24"/>
      <c r="J151" s="73" t="s">
        <v>327</v>
      </c>
      <c r="K151" s="74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94" t="s">
        <v>329</v>
      </c>
      <c r="G152" s="94"/>
      <c r="H152" s="94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9:G149"/>
    <mergeCell ref="I149:K149"/>
    <mergeCell ref="M149:N149"/>
    <mergeCell ref="F151:H151"/>
    <mergeCell ref="F152:H152"/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64:K77 G89:K91 G93:K124 G52:K55 G42:K50 G60:K62 G20:K21 G27:K40 G23:K25 G15:K18 G126:K146 G57:K58 G79:K87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январь</vt:lpstr>
      <vt:lpstr>февраль</vt:lpstr>
      <vt:lpstr>март</vt:lpstr>
      <vt:lpstr>1квартал</vt:lpstr>
      <vt:lpstr>апрель</vt:lpstr>
      <vt:lpstr>май</vt:lpstr>
      <vt:lpstr>июнь</vt:lpstr>
      <vt:lpstr>2квартал</vt:lpstr>
      <vt:lpstr>1 пг</vt:lpstr>
      <vt:lpstr>июль</vt:lpstr>
      <vt:lpstr>август</vt:lpstr>
      <vt:lpstr>сентябрь</vt:lpstr>
      <vt:lpstr>октябрь</vt:lpstr>
      <vt:lpstr>ноябрь</vt:lpstr>
      <vt:lpstr>декабрь</vt:lpstr>
      <vt:lpstr>2 пг</vt:lpstr>
      <vt:lpstr>год2020</vt:lpstr>
      <vt:lpstr>'1 пг'!Область_печати</vt:lpstr>
      <vt:lpstr>'1квартал'!Область_печати</vt:lpstr>
      <vt:lpstr>'2 пг'!Область_печати</vt:lpstr>
      <vt:lpstr>'2квартал'!Область_печати</vt:lpstr>
      <vt:lpstr>август!Область_печати</vt:lpstr>
      <vt:lpstr>апрель!Область_печати</vt:lpstr>
      <vt:lpstr>год2020!Область_печати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Bukhmina</dc:creator>
  <cp:lastModifiedBy>Irina Bukhmina</cp:lastModifiedBy>
  <cp:lastPrinted>2021-03-26T07:51:16Z</cp:lastPrinted>
  <dcterms:created xsi:type="dcterms:W3CDTF">2019-08-08T13:57:01Z</dcterms:created>
  <dcterms:modified xsi:type="dcterms:W3CDTF">2021-03-26T07:58:04Z</dcterms:modified>
</cp:coreProperties>
</file>